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shieldsk\Desktop\"/>
    </mc:Choice>
  </mc:AlternateContent>
  <xr:revisionPtr revIDLastSave="0" documentId="8_{D2A45418-9451-4389-96D2-6F8B7D968D28}" xr6:coauthVersionLast="32" xr6:coauthVersionMax="32" xr10:uidLastSave="{00000000-0000-0000-0000-000000000000}"/>
  <bookViews>
    <workbookView xWindow="0" yWindow="0" windowWidth="23040" windowHeight="9096" xr2:uid="{00000000-000D-0000-FFFF-FFFF00000000}"/>
  </bookViews>
  <sheets>
    <sheet name="3 scenarios" sheetId="2" r:id="rId1"/>
    <sheet name="Supporting calculations" sheetId="1" r:id="rId2"/>
  </sheets>
  <definedNames>
    <definedName name="_xlnm.Print_Area" localSheetId="1">'Supporting calculations'!$A$16:$AH$53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1" i="2" l="1"/>
  <c r="F10" i="2"/>
  <c r="H10" i="2"/>
  <c r="I10" i="2"/>
  <c r="F108" i="2"/>
  <c r="F114" i="2"/>
  <c r="F7" i="2"/>
  <c r="H7" i="2"/>
  <c r="I7" i="2"/>
  <c r="B68" i="2"/>
  <c r="C66" i="2"/>
  <c r="B66" i="2"/>
  <c r="B74" i="2"/>
  <c r="F8" i="2"/>
  <c r="H8" i="2"/>
  <c r="I8" i="2"/>
  <c r="B69" i="2"/>
  <c r="C67" i="2"/>
  <c r="B67" i="2"/>
  <c r="B75" i="2"/>
  <c r="B76" i="2"/>
  <c r="B77" i="2"/>
  <c r="B80" i="2"/>
  <c r="B82" i="2"/>
  <c r="B83" i="2"/>
  <c r="B84" i="2"/>
  <c r="B86" i="2"/>
  <c r="F88" i="2"/>
  <c r="F90" i="2"/>
  <c r="F61" i="2"/>
  <c r="F68" i="2"/>
  <c r="G67" i="2"/>
  <c r="F66" i="2"/>
  <c r="F74" i="2"/>
  <c r="F62" i="2"/>
  <c r="F11" i="2"/>
  <c r="H11" i="2"/>
  <c r="I11" i="2"/>
  <c r="F69" i="2"/>
  <c r="F67" i="2"/>
  <c r="F75" i="2"/>
  <c r="F63" i="2"/>
  <c r="F76" i="2"/>
  <c r="F77" i="2"/>
  <c r="F80" i="2"/>
  <c r="F82" i="2"/>
  <c r="F84" i="2"/>
  <c r="F86" i="2"/>
  <c r="F91" i="2"/>
  <c r="B108" i="2"/>
  <c r="B114" i="2"/>
  <c r="B109" i="2"/>
  <c r="C107" i="2"/>
  <c r="B107" i="2"/>
  <c r="B115" i="2"/>
  <c r="B116" i="2"/>
  <c r="B117" i="2"/>
  <c r="B120" i="2"/>
  <c r="B122" i="2"/>
  <c r="B123" i="2"/>
  <c r="B124" i="2"/>
  <c r="B126" i="2"/>
  <c r="F128" i="2"/>
  <c r="F130" i="2"/>
  <c r="J109" i="2"/>
  <c r="J108" i="2"/>
  <c r="F109" i="2"/>
  <c r="F120" i="2"/>
  <c r="F122" i="2"/>
  <c r="F124" i="2"/>
  <c r="J123" i="2"/>
  <c r="J122" i="2"/>
  <c r="J121" i="2"/>
  <c r="J120" i="2"/>
  <c r="J124" i="2"/>
  <c r="J103" i="2"/>
  <c r="J116" i="2"/>
  <c r="K111" i="2"/>
  <c r="C111" i="2"/>
  <c r="K110" i="2"/>
  <c r="C110" i="2"/>
  <c r="K107" i="2"/>
  <c r="J107" i="2"/>
  <c r="J115" i="2"/>
  <c r="J114" i="2"/>
  <c r="G107" i="2"/>
  <c r="F107" i="2"/>
  <c r="F103" i="2"/>
  <c r="F116" i="2"/>
  <c r="F102" i="2"/>
  <c r="F115" i="2"/>
  <c r="J69" i="2"/>
  <c r="J68" i="2"/>
  <c r="J83" i="2"/>
  <c r="J82" i="2"/>
  <c r="J81" i="2"/>
  <c r="J80" i="2"/>
  <c r="J84" i="2"/>
  <c r="K71" i="2"/>
  <c r="K70" i="2"/>
  <c r="K67" i="2"/>
  <c r="J67" i="2"/>
  <c r="K66" i="2"/>
  <c r="J66" i="2"/>
  <c r="J63" i="2"/>
  <c r="J76" i="2"/>
  <c r="B10" i="2"/>
  <c r="C10" i="2"/>
  <c r="G71" i="2"/>
  <c r="G66" i="2"/>
  <c r="C71" i="2"/>
  <c r="C70" i="2"/>
  <c r="B42" i="2"/>
  <c r="F29" i="2"/>
  <c r="F42" i="2"/>
  <c r="J49" i="2"/>
  <c r="J46" i="2"/>
  <c r="J47" i="2"/>
  <c r="J29" i="2"/>
  <c r="J42" i="2"/>
  <c r="J48" i="2"/>
  <c r="K37" i="2"/>
  <c r="K33" i="2"/>
  <c r="J33" i="2"/>
  <c r="K32" i="2"/>
  <c r="J32" i="2"/>
  <c r="F46" i="2"/>
  <c r="B46" i="2"/>
  <c r="F48" i="2"/>
  <c r="G37" i="2"/>
  <c r="G33" i="2"/>
  <c r="F33" i="2"/>
  <c r="G32" i="2"/>
  <c r="B48" i="2"/>
  <c r="B49" i="2"/>
  <c r="B35" i="2"/>
  <c r="B34" i="2"/>
  <c r="C33" i="2"/>
  <c r="B33" i="2"/>
  <c r="C32" i="2"/>
  <c r="B32" i="2"/>
  <c r="F117" i="2"/>
  <c r="F126" i="2"/>
  <c r="F131" i="2"/>
  <c r="J117" i="2"/>
  <c r="J126" i="2"/>
  <c r="G111" i="2"/>
  <c r="G110" i="2"/>
  <c r="J74" i="2"/>
  <c r="J75" i="2"/>
  <c r="G70" i="2"/>
  <c r="F35" i="2"/>
  <c r="F41" i="2"/>
  <c r="J35" i="2"/>
  <c r="J34" i="2"/>
  <c r="J40" i="2"/>
  <c r="F50" i="2"/>
  <c r="J50" i="2"/>
  <c r="J41" i="2"/>
  <c r="K36" i="2"/>
  <c r="B50" i="2"/>
  <c r="B40" i="2"/>
  <c r="B41" i="2"/>
  <c r="C37" i="2"/>
  <c r="C36" i="2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5" i="2"/>
  <c r="C15" i="2"/>
  <c r="F27" i="2"/>
  <c r="J77" i="2"/>
  <c r="J86" i="2"/>
  <c r="B43" i="2"/>
  <c r="J43" i="2"/>
  <c r="J52" i="2"/>
  <c r="G36" i="2"/>
  <c r="F40" i="2"/>
  <c r="F43" i="2"/>
  <c r="F52" i="2"/>
  <c r="B52" i="2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B48" i="1"/>
  <c r="B50" i="1"/>
  <c r="C46" i="1"/>
  <c r="C48" i="1"/>
  <c r="B40" i="1"/>
  <c r="B42" i="1"/>
  <c r="C38" i="1"/>
  <c r="C40" i="1"/>
  <c r="B29" i="1"/>
  <c r="B31" i="1"/>
  <c r="C27" i="1"/>
  <c r="C29" i="1"/>
  <c r="B21" i="1"/>
  <c r="B23" i="1"/>
  <c r="C19" i="1"/>
  <c r="C21" i="1"/>
  <c r="B8" i="1"/>
  <c r="D8" i="1"/>
  <c r="B13" i="1"/>
  <c r="D13" i="1"/>
  <c r="C23" i="1"/>
  <c r="D19" i="1"/>
  <c r="D21" i="1"/>
  <c r="D23" i="1"/>
  <c r="E19" i="1"/>
  <c r="C50" i="1"/>
  <c r="D46" i="1"/>
  <c r="D48" i="1"/>
  <c r="D50" i="1"/>
  <c r="E46" i="1"/>
  <c r="E48" i="1"/>
  <c r="E50" i="1"/>
  <c r="F46" i="1"/>
  <c r="F48" i="1"/>
  <c r="F50" i="1"/>
  <c r="G46" i="1"/>
  <c r="G48" i="1"/>
  <c r="G50" i="1"/>
  <c r="H46" i="1"/>
  <c r="H48" i="1"/>
  <c r="H50" i="1"/>
  <c r="I46" i="1"/>
  <c r="I48" i="1"/>
  <c r="I50" i="1"/>
  <c r="J46" i="1"/>
  <c r="J48" i="1"/>
  <c r="J50" i="1"/>
  <c r="K46" i="1"/>
  <c r="K48" i="1"/>
  <c r="K50" i="1"/>
  <c r="L46" i="1"/>
  <c r="L48" i="1"/>
  <c r="L50" i="1"/>
  <c r="M46" i="1"/>
  <c r="M48" i="1"/>
  <c r="M50" i="1"/>
  <c r="N46" i="1"/>
  <c r="N48" i="1"/>
  <c r="N50" i="1"/>
  <c r="O46" i="1"/>
  <c r="O48" i="1"/>
  <c r="O50" i="1"/>
  <c r="P46" i="1"/>
  <c r="P48" i="1"/>
  <c r="P50" i="1"/>
  <c r="Q46" i="1"/>
  <c r="Q48" i="1"/>
  <c r="Q50" i="1"/>
  <c r="R46" i="1"/>
  <c r="R48" i="1"/>
  <c r="R50" i="1"/>
  <c r="S46" i="1"/>
  <c r="S48" i="1"/>
  <c r="S50" i="1"/>
  <c r="T46" i="1"/>
  <c r="T48" i="1"/>
  <c r="T50" i="1"/>
  <c r="U46" i="1"/>
  <c r="U48" i="1"/>
  <c r="U50" i="1"/>
  <c r="V46" i="1"/>
  <c r="V48" i="1"/>
  <c r="V50" i="1"/>
  <c r="W46" i="1"/>
  <c r="W48" i="1"/>
  <c r="W50" i="1"/>
  <c r="X46" i="1"/>
  <c r="X48" i="1"/>
  <c r="X50" i="1"/>
  <c r="Y46" i="1"/>
  <c r="Y48" i="1"/>
  <c r="Y50" i="1"/>
  <c r="Z46" i="1"/>
  <c r="Z48" i="1"/>
  <c r="Z50" i="1"/>
  <c r="AA46" i="1"/>
  <c r="AA48" i="1"/>
  <c r="AA50" i="1"/>
  <c r="AB46" i="1"/>
  <c r="AB48" i="1"/>
  <c r="AB50" i="1"/>
  <c r="AC46" i="1"/>
  <c r="AC48" i="1"/>
  <c r="AC50" i="1"/>
  <c r="AD46" i="1"/>
  <c r="AD48" i="1"/>
  <c r="AD50" i="1"/>
  <c r="AE46" i="1"/>
  <c r="AE48" i="1"/>
  <c r="AE50" i="1"/>
  <c r="AF46" i="1"/>
  <c r="AF48" i="1"/>
  <c r="AF50" i="1"/>
  <c r="AG46" i="1"/>
  <c r="AG48" i="1"/>
  <c r="AG50" i="1"/>
  <c r="AH46" i="1"/>
  <c r="AH48" i="1"/>
  <c r="AH50" i="1"/>
  <c r="C42" i="1"/>
  <c r="D38" i="1"/>
  <c r="D40" i="1"/>
  <c r="D42" i="1"/>
  <c r="E38" i="1"/>
  <c r="E40" i="1"/>
  <c r="E42" i="1"/>
  <c r="F38" i="1"/>
  <c r="F40" i="1"/>
  <c r="F42" i="1"/>
  <c r="G38" i="1"/>
  <c r="G40" i="1"/>
  <c r="G42" i="1"/>
  <c r="H38" i="1"/>
  <c r="H40" i="1"/>
  <c r="H42" i="1"/>
  <c r="I38" i="1"/>
  <c r="I40" i="1"/>
  <c r="I42" i="1"/>
  <c r="J38" i="1"/>
  <c r="J40" i="1"/>
  <c r="J42" i="1"/>
  <c r="K38" i="1"/>
  <c r="K40" i="1"/>
  <c r="K42" i="1"/>
  <c r="L38" i="1"/>
  <c r="L40" i="1"/>
  <c r="L42" i="1"/>
  <c r="M38" i="1"/>
  <c r="M40" i="1"/>
  <c r="M42" i="1"/>
  <c r="N38" i="1"/>
  <c r="N40" i="1"/>
  <c r="N42" i="1"/>
  <c r="O38" i="1"/>
  <c r="O40" i="1"/>
  <c r="O42" i="1"/>
  <c r="P38" i="1"/>
  <c r="P40" i="1"/>
  <c r="P42" i="1"/>
  <c r="Q38" i="1"/>
  <c r="Q40" i="1"/>
  <c r="Q42" i="1"/>
  <c r="R38" i="1"/>
  <c r="R40" i="1"/>
  <c r="R42" i="1"/>
  <c r="S38" i="1"/>
  <c r="S40" i="1"/>
  <c r="S42" i="1"/>
  <c r="T38" i="1"/>
  <c r="T40" i="1"/>
  <c r="T42" i="1"/>
  <c r="U38" i="1"/>
  <c r="U40" i="1"/>
  <c r="U42" i="1"/>
  <c r="V38" i="1"/>
  <c r="V40" i="1"/>
  <c r="V42" i="1"/>
  <c r="W38" i="1"/>
  <c r="W40" i="1"/>
  <c r="W42" i="1"/>
  <c r="X38" i="1"/>
  <c r="X40" i="1"/>
  <c r="X42" i="1"/>
  <c r="Y38" i="1"/>
  <c r="Y40" i="1"/>
  <c r="Y42" i="1"/>
  <c r="Z38" i="1"/>
  <c r="Z40" i="1"/>
  <c r="Z42" i="1"/>
  <c r="AA38" i="1"/>
  <c r="AA40" i="1"/>
  <c r="AA42" i="1"/>
  <c r="AB38" i="1"/>
  <c r="AB40" i="1"/>
  <c r="AB42" i="1"/>
  <c r="AC38" i="1"/>
  <c r="AC40" i="1"/>
  <c r="AC42" i="1"/>
  <c r="AD38" i="1"/>
  <c r="AD40" i="1"/>
  <c r="AD42" i="1"/>
  <c r="AE38" i="1"/>
  <c r="AE40" i="1"/>
  <c r="AE42" i="1"/>
  <c r="AF38" i="1"/>
  <c r="AF40" i="1"/>
  <c r="AF42" i="1"/>
  <c r="AG38" i="1"/>
  <c r="AG40" i="1"/>
  <c r="AG42" i="1"/>
  <c r="AH38" i="1"/>
  <c r="AH40" i="1"/>
  <c r="AH42" i="1"/>
  <c r="B52" i="1"/>
  <c r="C31" i="1"/>
  <c r="D27" i="1"/>
  <c r="D29" i="1"/>
  <c r="D31" i="1"/>
  <c r="E27" i="1"/>
  <c r="E29" i="1"/>
  <c r="E31" i="1"/>
  <c r="F27" i="1"/>
  <c r="F29" i="1"/>
  <c r="F31" i="1"/>
  <c r="G27" i="1"/>
  <c r="G29" i="1"/>
  <c r="G31" i="1"/>
  <c r="H27" i="1"/>
  <c r="H29" i="1"/>
  <c r="H31" i="1"/>
  <c r="I27" i="1"/>
  <c r="I29" i="1"/>
  <c r="I31" i="1"/>
  <c r="J27" i="1"/>
  <c r="J29" i="1"/>
  <c r="J31" i="1"/>
  <c r="K27" i="1"/>
  <c r="K29" i="1"/>
  <c r="K31" i="1"/>
  <c r="L27" i="1"/>
  <c r="L29" i="1"/>
  <c r="L31" i="1"/>
  <c r="M27" i="1"/>
  <c r="M29" i="1"/>
  <c r="M31" i="1"/>
  <c r="N27" i="1"/>
  <c r="N29" i="1"/>
  <c r="N31" i="1"/>
  <c r="O27" i="1"/>
  <c r="O29" i="1"/>
  <c r="O31" i="1"/>
  <c r="P27" i="1"/>
  <c r="P29" i="1"/>
  <c r="P31" i="1"/>
  <c r="Q27" i="1"/>
  <c r="Q29" i="1"/>
  <c r="Q31" i="1"/>
  <c r="R27" i="1"/>
  <c r="R29" i="1"/>
  <c r="R31" i="1"/>
  <c r="S27" i="1"/>
  <c r="S29" i="1"/>
  <c r="S31" i="1"/>
  <c r="T27" i="1"/>
  <c r="T29" i="1"/>
  <c r="T31" i="1"/>
  <c r="U27" i="1"/>
  <c r="U29" i="1"/>
  <c r="U31" i="1"/>
  <c r="V27" i="1"/>
  <c r="V29" i="1"/>
  <c r="V31" i="1"/>
  <c r="W27" i="1"/>
  <c r="W29" i="1"/>
  <c r="W31" i="1"/>
  <c r="X27" i="1"/>
  <c r="X29" i="1"/>
  <c r="X31" i="1"/>
  <c r="Y27" i="1"/>
  <c r="Y29" i="1"/>
  <c r="Y31" i="1"/>
  <c r="Z27" i="1"/>
  <c r="Z29" i="1"/>
  <c r="Z31" i="1"/>
  <c r="AA27" i="1"/>
  <c r="AA29" i="1"/>
  <c r="AA31" i="1"/>
  <c r="AB27" i="1"/>
  <c r="AB29" i="1"/>
  <c r="AB31" i="1"/>
  <c r="AC27" i="1"/>
  <c r="AC29" i="1"/>
  <c r="AC31" i="1"/>
  <c r="AD27" i="1"/>
  <c r="AD29" i="1"/>
  <c r="AD31" i="1"/>
  <c r="AE27" i="1"/>
  <c r="AE29" i="1"/>
  <c r="AE31" i="1"/>
  <c r="AF27" i="1"/>
  <c r="AF29" i="1"/>
  <c r="AF31" i="1"/>
  <c r="AG27" i="1"/>
  <c r="AG29" i="1"/>
  <c r="AG31" i="1"/>
  <c r="AH27" i="1"/>
  <c r="AH29" i="1"/>
  <c r="AH31" i="1"/>
  <c r="E21" i="1"/>
  <c r="E23" i="1"/>
  <c r="F19" i="1"/>
  <c r="F21" i="1"/>
  <c r="F23" i="1"/>
  <c r="G19" i="1"/>
  <c r="G21" i="1"/>
  <c r="G23" i="1"/>
  <c r="H19" i="1"/>
  <c r="H21" i="1"/>
  <c r="H23" i="1"/>
  <c r="I19" i="1"/>
  <c r="I21" i="1"/>
  <c r="I23" i="1"/>
  <c r="J19" i="1"/>
  <c r="J21" i="1"/>
  <c r="J23" i="1"/>
  <c r="K19" i="1"/>
  <c r="K21" i="1"/>
  <c r="K23" i="1"/>
  <c r="L19" i="1"/>
  <c r="L21" i="1"/>
  <c r="L23" i="1"/>
  <c r="M19" i="1"/>
  <c r="M21" i="1"/>
  <c r="M23" i="1"/>
  <c r="N19" i="1"/>
  <c r="N21" i="1"/>
  <c r="N23" i="1"/>
  <c r="O19" i="1"/>
  <c r="O21" i="1"/>
  <c r="O23" i="1"/>
  <c r="P19" i="1"/>
  <c r="P21" i="1"/>
  <c r="P23" i="1"/>
  <c r="Q19" i="1"/>
  <c r="Q21" i="1"/>
  <c r="Q23" i="1"/>
  <c r="R19" i="1"/>
  <c r="R21" i="1"/>
  <c r="R23" i="1"/>
  <c r="S19" i="1"/>
  <c r="S21" i="1"/>
  <c r="S23" i="1"/>
  <c r="T19" i="1"/>
  <c r="T21" i="1"/>
  <c r="T23" i="1"/>
  <c r="U19" i="1"/>
  <c r="U21" i="1"/>
  <c r="U23" i="1"/>
  <c r="V19" i="1"/>
  <c r="V21" i="1"/>
  <c r="V23" i="1"/>
  <c r="W19" i="1"/>
  <c r="W21" i="1"/>
  <c r="W23" i="1"/>
  <c r="X19" i="1"/>
  <c r="X21" i="1"/>
  <c r="X23" i="1"/>
  <c r="Y19" i="1"/>
  <c r="Y21" i="1"/>
  <c r="Y23" i="1"/>
  <c r="Z19" i="1"/>
  <c r="Z21" i="1"/>
  <c r="Z23" i="1"/>
  <c r="AA19" i="1"/>
  <c r="AA21" i="1"/>
  <c r="AA23" i="1"/>
  <c r="AB19" i="1"/>
  <c r="AB21" i="1"/>
  <c r="AB23" i="1"/>
  <c r="AC19" i="1"/>
  <c r="AC21" i="1"/>
  <c r="AC23" i="1"/>
  <c r="AD19" i="1"/>
  <c r="AD21" i="1"/>
  <c r="AD23" i="1"/>
  <c r="AE19" i="1"/>
  <c r="AE21" i="1"/>
  <c r="AE23" i="1"/>
  <c r="AF19" i="1"/>
  <c r="AF21" i="1"/>
  <c r="AF23" i="1"/>
  <c r="AG19" i="1"/>
  <c r="AG21" i="1"/>
  <c r="AG23" i="1"/>
  <c r="AH19" i="1"/>
  <c r="AH21" i="1"/>
  <c r="AH23" i="1"/>
  <c r="B33" i="1"/>
</calcChain>
</file>

<file path=xl/sharedStrings.xml><?xml version="1.0" encoding="utf-8"?>
<sst xmlns="http://schemas.openxmlformats.org/spreadsheetml/2006/main" count="319" uniqueCount="97">
  <si>
    <t xml:space="preserve">Self Employment </t>
  </si>
  <si>
    <t xml:space="preserve">Max Insurable Earnings </t>
  </si>
  <si>
    <t xml:space="preserve">EI payment </t>
  </si>
  <si>
    <t xml:space="preserve">annually </t>
  </si>
  <si>
    <t xml:space="preserve">Age </t>
  </si>
  <si>
    <t xml:space="preserve">Retirement </t>
  </si>
  <si>
    <t xml:space="preserve">Years of Payment </t>
  </si>
  <si>
    <t xml:space="preserve">total paid </t>
  </si>
  <si>
    <t xml:space="preserve">EI claim </t>
  </si>
  <si>
    <t xml:space="preserve">Total weeks </t>
  </si>
  <si>
    <t>Maternity (weeks)</t>
  </si>
  <si>
    <t xml:space="preserve">Parental (weeks) </t>
  </si>
  <si>
    <t xml:space="preserve">weekly </t>
  </si>
  <si>
    <t xml:space="preserve">Old EI contributions - no - 52 week qualifying period. </t>
  </si>
  <si>
    <t>RRSP</t>
  </si>
  <si>
    <t xml:space="preserve">Annual Contribution </t>
  </si>
  <si>
    <t xml:space="preserve">Total </t>
  </si>
  <si>
    <t xml:space="preserve">TFSA </t>
  </si>
  <si>
    <t xml:space="preserve">Interest annual </t>
  </si>
  <si>
    <t>Total</t>
  </si>
  <si>
    <t xml:space="preserve">Ending Investment </t>
  </si>
  <si>
    <t xml:space="preserve">33 years </t>
  </si>
  <si>
    <t xml:space="preserve">Partner </t>
  </si>
  <si>
    <t xml:space="preserve">2 kids </t>
  </si>
  <si>
    <t xml:space="preserve">Work another 52 weeks </t>
  </si>
  <si>
    <t>Baby 1 at 34.5</t>
  </si>
  <si>
    <t>Baby 2 at 37</t>
  </si>
  <si>
    <t xml:space="preserve">3-4 months no work </t>
  </si>
  <si>
    <t xml:space="preserve">at 6 months - 1-2 clients a week </t>
  </si>
  <si>
    <t xml:space="preserve">He makes $45,000 </t>
  </si>
  <si>
    <t xml:space="preserve">Scenario #1 - She pays in and takes the full 50 weeks </t>
  </si>
  <si>
    <t xml:space="preserve">Age 33 </t>
  </si>
  <si>
    <t>Prior to baby:</t>
  </si>
  <si>
    <t xml:space="preserve">Income: </t>
  </si>
  <si>
    <t xml:space="preserve">Janet </t>
  </si>
  <si>
    <t xml:space="preserve">Jeff </t>
  </si>
  <si>
    <t xml:space="preserve">Expenses: </t>
  </si>
  <si>
    <t>Net Income:</t>
  </si>
  <si>
    <t>Deductions</t>
  </si>
  <si>
    <t xml:space="preserve">EI - Janet </t>
  </si>
  <si>
    <t>EI - Jeff</t>
  </si>
  <si>
    <t xml:space="preserve">CPP - Janet </t>
  </si>
  <si>
    <t xml:space="preserve">CPP - Jeff </t>
  </si>
  <si>
    <t xml:space="preserve">Max Earnings </t>
  </si>
  <si>
    <t xml:space="preserve">Basic Exemption </t>
  </si>
  <si>
    <t xml:space="preserve">Net </t>
  </si>
  <si>
    <t xml:space="preserve">CPP </t>
  </si>
  <si>
    <t xml:space="preserve">CPP Calc </t>
  </si>
  <si>
    <t xml:space="preserve">Tax - Janet </t>
  </si>
  <si>
    <t xml:space="preserve">Tax - Jeff </t>
  </si>
  <si>
    <t xml:space="preserve">Savings ($500/mth) </t>
  </si>
  <si>
    <t>Personal expenses / hobbies ($200/mth)</t>
  </si>
  <si>
    <t xml:space="preserve">Surplus Cash - emergency fund </t>
  </si>
  <si>
    <t>Personal expenses / hobbies ($300/mth)</t>
  </si>
  <si>
    <t>CPP Calc.</t>
  </si>
  <si>
    <t>Jeff</t>
  </si>
  <si>
    <t>1 year Post baby:</t>
  </si>
  <si>
    <t xml:space="preserve">Savings ($0/mth) </t>
  </si>
  <si>
    <t xml:space="preserve"> - Not able to save any extra money for retirement while Janet is on unemployment. </t>
  </si>
  <si>
    <t xml:space="preserve"> - Personal spending habbits must decrease from $150 each to $100 each per month. </t>
  </si>
  <si>
    <t xml:space="preserve">Child benefit </t>
  </si>
  <si>
    <t>2 years Post baby:</t>
  </si>
  <si>
    <t xml:space="preserve">Savings ($400/mth) </t>
  </si>
  <si>
    <t xml:space="preserve">Day Care ($900/mth) </t>
  </si>
  <si>
    <t>Day Care ($0/mth)</t>
  </si>
  <si>
    <t xml:space="preserve">Child Benefit </t>
  </si>
  <si>
    <t xml:space="preserve"> - Net cash deficit of $7,600 can be funded by emergency fund (1.5 years to save it) </t>
  </si>
  <si>
    <t xml:space="preserve">Summary 1 year post baby: </t>
  </si>
  <si>
    <t xml:space="preserve">Summary 2 years post baby: </t>
  </si>
  <si>
    <t xml:space="preserve"> - Now able to save $400 / month again once Janet goes back to work full time. </t>
  </si>
  <si>
    <t xml:space="preserve"> - Personal spending of $100 each per month (same as year 1) </t>
  </si>
  <si>
    <t xml:space="preserve"> - Little surplus for emergency fund but Jeff could be making more income by now. </t>
  </si>
  <si>
    <t>Tax - Jeff (day care deduction $10,800)</t>
  </si>
  <si>
    <t>Cost of Living ($5,500/mth)</t>
  </si>
  <si>
    <t>EI - No CPP</t>
  </si>
  <si>
    <t xml:space="preserve">Scenario #2 -  she pays in and take 3-4 months and then back part time and he fills the 50 weeks </t>
  </si>
  <si>
    <t>Janet (26,850 x 15 wks) (40,000 x 37 wks)</t>
  </si>
  <si>
    <t xml:space="preserve">Jeff (45,000 x 17 wks) (24,750 x 35 wks) </t>
  </si>
  <si>
    <t xml:space="preserve">Scenario #3) she opts out of EI, takes 3 months and then he takes 35 weeks through his EI. </t>
  </si>
  <si>
    <t>opt out</t>
  </si>
  <si>
    <t xml:space="preserve">Portion EI / Portion salaried income </t>
  </si>
  <si>
    <t xml:space="preserve">Full CPP for Janet &amp; Jeff's salaried income </t>
  </si>
  <si>
    <t>Janet  (40,000 x 37 wks)</t>
  </si>
  <si>
    <t xml:space="preserve">Prior to baby surplus </t>
  </si>
  <si>
    <t xml:space="preserve">Years estimated before baby arrives </t>
  </si>
  <si>
    <t xml:space="preserve">Emergency fund build up </t>
  </si>
  <si>
    <t xml:space="preserve">Deficit </t>
  </si>
  <si>
    <t xml:space="preserve">  - may need to borrow some from TFSA using this option. </t>
  </si>
  <si>
    <t xml:space="preserve"> - More surplus after year 2 to put towards an RESP vs. paying into EI or to replenish TFSA </t>
  </si>
  <si>
    <t xml:space="preserve">Surplus Cash - baby fund </t>
  </si>
  <si>
    <t xml:space="preserve">Surplus/(deficit) cash) </t>
  </si>
  <si>
    <t xml:space="preserve">Surplus Cash - TFSA or RESP </t>
  </si>
  <si>
    <t xml:space="preserve">Scenario 1 - Pay into EI - not into Investment </t>
  </si>
  <si>
    <t>Scenario 3 - Pay into investment - not in EI</t>
  </si>
  <si>
    <t>All calculations provided by Ruby Lougheed Yawney, CPA, CA, Hons BBA, CFP, CIM, FCSI
Senior Financial Advisor, Manulife Securities Incorporated; Life Insurance Advisor, Manulife Securities Insurance Inc. Current as of March 2017.</t>
  </si>
  <si>
    <t>Copyright 2017 TC Media</t>
  </si>
  <si>
    <t>Disclaimer:  These materials are for reference and guidance only. You are responsible for the advice you give your clients.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</si>
</sst>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_-&quot;$&quot;* #,##0_-;\-&quot;$&quot;* #,##0_-;_-&quot;$&quot;* &quot;-&quot;??_-;_-@_-"/>
    <numFmt numFmtId="169" formatCode="_-&quot;$&quot;* #,##0.0000_-;\-&quot;$&quot;* #,##0.00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167" fontId="0" fillId="0" borderId="0" xfId="1" applyNumberFormat="1" applyFont="1"/>
    <xf numFmtId="168" fontId="0" fillId="0" borderId="0" xfId="2" applyNumberFormat="1" applyFont="1"/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9" fontId="0" fillId="0" borderId="1" xfId="0" applyNumberFormat="1" applyBorder="1"/>
    <xf numFmtId="167" fontId="4" fillId="0" borderId="0" xfId="1" applyNumberFormat="1" applyFont="1"/>
    <xf numFmtId="0" fontId="3" fillId="0" borderId="0" xfId="0" applyFont="1"/>
    <xf numFmtId="167" fontId="3" fillId="0" borderId="0" xfId="1" applyNumberFormat="1" applyFont="1"/>
    <xf numFmtId="167" fontId="0" fillId="0" borderId="0" xfId="0" applyNumberFormat="1"/>
    <xf numFmtId="167" fontId="0" fillId="0" borderId="1" xfId="1" applyNumberFormat="1" applyFont="1" applyBorder="1"/>
    <xf numFmtId="0" fontId="6" fillId="0" borderId="2" xfId="0" applyFont="1" applyBorder="1"/>
    <xf numFmtId="167" fontId="6" fillId="0" borderId="2" xfId="0" applyNumberFormat="1" applyFont="1" applyBorder="1"/>
    <xf numFmtId="0" fontId="4" fillId="2" borderId="0" xfId="0" applyFont="1" applyFill="1"/>
    <xf numFmtId="0" fontId="0" fillId="2" borderId="0" xfId="0" applyFill="1"/>
    <xf numFmtId="0" fontId="0" fillId="0" borderId="3" xfId="0" applyBorder="1"/>
    <xf numFmtId="0" fontId="0" fillId="0" borderId="4" xfId="0" applyBorder="1"/>
    <xf numFmtId="168" fontId="0" fillId="0" borderId="4" xfId="2" applyNumberFormat="1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68" fontId="0" fillId="0" borderId="0" xfId="2" applyNumberFormat="1" applyFont="1" applyBorder="1"/>
    <xf numFmtId="0" fontId="0" fillId="0" borderId="7" xfId="0" applyBorder="1"/>
    <xf numFmtId="0" fontId="5" fillId="0" borderId="6" xfId="0" applyFont="1" applyBorder="1"/>
    <xf numFmtId="165" fontId="0" fillId="0" borderId="0" xfId="2" applyFont="1" applyBorder="1"/>
    <xf numFmtId="168" fontId="0" fillId="0" borderId="0" xfId="0" applyNumberFormat="1" applyBorder="1"/>
    <xf numFmtId="169" fontId="0" fillId="0" borderId="0" xfId="2" applyNumberFormat="1" applyFont="1" applyBorder="1"/>
    <xf numFmtId="0" fontId="0" fillId="0" borderId="8" xfId="0" applyBorder="1"/>
    <xf numFmtId="168" fontId="0" fillId="0" borderId="1" xfId="2" applyNumberFormat="1" applyFont="1" applyBorder="1"/>
    <xf numFmtId="0" fontId="0" fillId="0" borderId="9" xfId="0" applyBorder="1"/>
    <xf numFmtId="0" fontId="7" fillId="0" borderId="0" xfId="0" applyFont="1"/>
    <xf numFmtId="0" fontId="4" fillId="0" borderId="0" xfId="0" applyFont="1" applyAlignment="1">
      <alignment horizontal="left"/>
    </xf>
    <xf numFmtId="164" fontId="0" fillId="0" borderId="0" xfId="0" applyNumberFormat="1"/>
    <xf numFmtId="0" fontId="5" fillId="0" borderId="0" xfId="0" applyFont="1"/>
    <xf numFmtId="0" fontId="0" fillId="0" borderId="0" xfId="0" applyFont="1"/>
    <xf numFmtId="167" fontId="0" fillId="0" borderId="6" xfId="0" applyNumberFormat="1" applyBorder="1"/>
    <xf numFmtId="166" fontId="0" fillId="0" borderId="7" xfId="1" applyFont="1" applyBorder="1"/>
    <xf numFmtId="167" fontId="0" fillId="0" borderId="8" xfId="0" applyNumberFormat="1" applyBorder="1"/>
    <xf numFmtId="166" fontId="0" fillId="0" borderId="9" xfId="1" applyFont="1" applyBorder="1"/>
    <xf numFmtId="10" fontId="8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3" applyFont="1" applyFill="1" applyAlignment="1">
      <alignment horizontal="center"/>
    </xf>
    <xf numFmtId="168" fontId="0" fillId="0" borderId="0" xfId="0" applyNumberFormat="1"/>
    <xf numFmtId="0" fontId="4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" xfId="0" applyFont="1" applyBorder="1"/>
    <xf numFmtId="168" fontId="0" fillId="0" borderId="5" xfId="2" applyNumberFormat="1" applyFont="1" applyBorder="1"/>
    <xf numFmtId="168" fontId="0" fillId="0" borderId="7" xfId="2" applyNumberFormat="1" applyFont="1" applyBorder="1"/>
    <xf numFmtId="165" fontId="0" fillId="0" borderId="7" xfId="2" applyFont="1" applyBorder="1"/>
    <xf numFmtId="168" fontId="0" fillId="0" borderId="7" xfId="0" applyNumberFormat="1" applyBorder="1"/>
    <xf numFmtId="169" fontId="0" fillId="0" borderId="7" xfId="2" applyNumberFormat="1" applyFont="1" applyBorder="1"/>
    <xf numFmtId="168" fontId="0" fillId="0" borderId="9" xfId="2" applyNumberFormat="1" applyFont="1" applyBorder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11" fillId="0" borderId="0" xfId="0" applyFont="1"/>
    <xf numFmtId="0" fontId="4" fillId="3" borderId="8" xfId="0" applyFont="1" applyFill="1" applyBorder="1" applyAlignment="1">
      <alignment horizontal="left" wrapText="1"/>
    </xf>
    <xf numFmtId="167" fontId="0" fillId="0" borderId="0" xfId="1" applyNumberFormat="1" applyFont="1" applyBorder="1"/>
    <xf numFmtId="167" fontId="0" fillId="0" borderId="4" xfId="1" applyNumberFormat="1" applyFont="1" applyBorder="1"/>
    <xf numFmtId="166" fontId="0" fillId="0" borderId="5" xfId="0" applyNumberFormat="1" applyBorder="1"/>
    <xf numFmtId="166" fontId="0" fillId="0" borderId="9" xfId="0" applyNumberFormat="1" applyBorder="1"/>
    <xf numFmtId="0" fontId="0" fillId="0" borderId="13" xfId="0" applyBorder="1"/>
    <xf numFmtId="0" fontId="0" fillId="0" borderId="14" xfId="0" applyBorder="1"/>
    <xf numFmtId="0" fontId="4" fillId="4" borderId="10" xfId="0" applyFont="1" applyFill="1" applyBorder="1"/>
    <xf numFmtId="0" fontId="4" fillId="4" borderId="11" xfId="0" applyFont="1" applyFill="1" applyBorder="1"/>
    <xf numFmtId="0" fontId="0" fillId="4" borderId="12" xfId="0" applyFill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167" fontId="0" fillId="0" borderId="0" xfId="1" applyNumberFormat="1" applyFont="1" applyFill="1" applyBorder="1"/>
    <xf numFmtId="166" fontId="0" fillId="0" borderId="0" xfId="0" applyNumberFormat="1" applyFill="1" applyBorder="1"/>
    <xf numFmtId="165" fontId="0" fillId="0" borderId="11" xfId="0" applyNumberFormat="1" applyBorder="1"/>
    <xf numFmtId="165" fontId="3" fillId="0" borderId="0" xfId="0" applyNumberFormat="1" applyFont="1"/>
    <xf numFmtId="0" fontId="0" fillId="5" borderId="0" xfId="0" applyFill="1"/>
    <xf numFmtId="168" fontId="0" fillId="5" borderId="0" xfId="0" applyNumberFormat="1" applyFill="1"/>
    <xf numFmtId="168" fontId="0" fillId="2" borderId="0" xfId="0" applyNumberFormat="1" applyFill="1"/>
    <xf numFmtId="0" fontId="12" fillId="5" borderId="0" xfId="0" applyFont="1" applyFill="1"/>
    <xf numFmtId="0" fontId="12" fillId="2" borderId="0" xfId="0" applyFont="1" applyFill="1"/>
    <xf numFmtId="0" fontId="0" fillId="6" borderId="0" xfId="0" applyFill="1"/>
    <xf numFmtId="168" fontId="0" fillId="6" borderId="0" xfId="0" applyNumberFormat="1" applyFill="1"/>
    <xf numFmtId="0" fontId="12" fillId="6" borderId="0" xfId="0" applyFont="1" applyFill="1"/>
    <xf numFmtId="166" fontId="0" fillId="0" borderId="0" xfId="1" applyFont="1"/>
    <xf numFmtId="0" fontId="1" fillId="0" borderId="0" xfId="0" applyFont="1" applyAlignment="1">
      <alignment wrapText="1"/>
    </xf>
    <xf numFmtId="0" fontId="1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127000</xdr:rowOff>
    </xdr:from>
    <xdr:to>
      <xdr:col>5</xdr:col>
      <xdr:colOff>115711</xdr:colOff>
      <xdr:row>0</xdr:row>
      <xdr:rowOff>939800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0" y="127000"/>
          <a:ext cx="2935111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"/>
  <sheetViews>
    <sheetView tabSelected="1" workbookViewId="0">
      <selection activeCell="A30" sqref="A30"/>
    </sheetView>
  </sheetViews>
  <sheetFormatPr defaultColWidth="8.77734375" defaultRowHeight="14.4" x14ac:dyDescent="0.3"/>
  <cols>
    <col min="1" max="1" width="37.44140625" customWidth="1"/>
    <col min="2" max="2" width="11.44140625" bestFit="1" customWidth="1"/>
    <col min="4" max="4" width="8.33203125" customWidth="1"/>
    <col min="5" max="5" width="37.44140625" bestFit="1" customWidth="1"/>
    <col min="6" max="6" width="11" customWidth="1"/>
    <col min="7" max="7" width="13.44140625" customWidth="1"/>
    <col min="8" max="8" width="12" customWidth="1"/>
    <col min="9" max="9" width="37.44140625" bestFit="1" customWidth="1"/>
    <col min="10" max="10" width="9" bestFit="1" customWidth="1"/>
  </cols>
  <sheetData>
    <row r="1" spans="1:11" ht="109.2" x14ac:dyDescent="0.3">
      <c r="A1" s="86" t="s">
        <v>94</v>
      </c>
    </row>
    <row r="3" spans="1:11" x14ac:dyDescent="0.3">
      <c r="A3" s="4" t="s">
        <v>0</v>
      </c>
    </row>
    <row r="4" spans="1:11" x14ac:dyDescent="0.3">
      <c r="A4" s="31" t="s">
        <v>13</v>
      </c>
      <c r="K4" s="4" t="s">
        <v>21</v>
      </c>
    </row>
    <row r="5" spans="1:11" x14ac:dyDescent="0.3">
      <c r="A5" s="16" t="s">
        <v>1</v>
      </c>
      <c r="B5" s="17"/>
      <c r="C5" s="49">
        <v>50800</v>
      </c>
      <c r="D5" s="21"/>
      <c r="E5" s="66" t="s">
        <v>54</v>
      </c>
      <c r="F5" s="67"/>
      <c r="G5" s="67"/>
      <c r="H5" s="67"/>
      <c r="I5" s="68"/>
      <c r="K5" s="4" t="s">
        <v>22</v>
      </c>
    </row>
    <row r="6" spans="1:11" ht="28.8" x14ac:dyDescent="0.3">
      <c r="A6" s="20"/>
      <c r="B6" s="21"/>
      <c r="C6" s="50"/>
      <c r="D6" s="21"/>
      <c r="E6" s="59" t="s">
        <v>81</v>
      </c>
      <c r="F6" s="44" t="s">
        <v>43</v>
      </c>
      <c r="G6" s="45" t="s">
        <v>44</v>
      </c>
      <c r="H6" s="46" t="s">
        <v>45</v>
      </c>
      <c r="I6" s="47" t="s">
        <v>46</v>
      </c>
      <c r="K6" s="4" t="s">
        <v>23</v>
      </c>
    </row>
    <row r="7" spans="1:11" x14ac:dyDescent="0.3">
      <c r="A7" s="24" t="s">
        <v>8</v>
      </c>
      <c r="B7" s="21"/>
      <c r="C7" s="51">
        <v>537</v>
      </c>
      <c r="D7" s="21"/>
      <c r="E7" s="36" t="s">
        <v>34</v>
      </c>
      <c r="F7" s="36">
        <f>IF(B27&gt;54900, 54900, B27)</f>
        <v>54900</v>
      </c>
      <c r="G7" s="60">
        <v>3500</v>
      </c>
      <c r="H7" s="60">
        <f>F7-G7</f>
        <v>51400</v>
      </c>
      <c r="I7" s="37">
        <f>H7*4.95%</f>
        <v>2544.3000000000002</v>
      </c>
      <c r="K7" s="4" t="s">
        <v>25</v>
      </c>
    </row>
    <row r="8" spans="1:11" x14ac:dyDescent="0.3">
      <c r="A8" s="20" t="s">
        <v>10</v>
      </c>
      <c r="B8" s="21">
        <v>15</v>
      </c>
      <c r="C8" s="23"/>
      <c r="D8" s="21"/>
      <c r="E8" s="38" t="s">
        <v>55</v>
      </c>
      <c r="F8" s="38">
        <f>IF(B28&gt;54900, 54900, B28)</f>
        <v>45000</v>
      </c>
      <c r="G8" s="11">
        <v>3500</v>
      </c>
      <c r="H8" s="11">
        <f>F8-G8</f>
        <v>41500</v>
      </c>
      <c r="I8" s="39">
        <f>H8*4.95%</f>
        <v>2054.25</v>
      </c>
      <c r="K8" s="4" t="s">
        <v>24</v>
      </c>
    </row>
    <row r="9" spans="1:11" ht="28.8" x14ac:dyDescent="0.3">
      <c r="A9" s="20" t="s">
        <v>11</v>
      </c>
      <c r="B9" s="3">
        <v>35</v>
      </c>
      <c r="C9" s="23"/>
      <c r="D9" s="21"/>
      <c r="E9" s="59" t="s">
        <v>80</v>
      </c>
      <c r="F9" s="44" t="s">
        <v>43</v>
      </c>
      <c r="G9" s="45" t="s">
        <v>44</v>
      </c>
      <c r="H9" s="46" t="s">
        <v>45</v>
      </c>
      <c r="I9" s="47" t="s">
        <v>46</v>
      </c>
      <c r="K9" s="4" t="s">
        <v>26</v>
      </c>
    </row>
    <row r="10" spans="1:11" x14ac:dyDescent="0.3">
      <c r="A10" s="20" t="s">
        <v>9</v>
      </c>
      <c r="B10" s="21">
        <f>B8+B9</f>
        <v>50</v>
      </c>
      <c r="C10" s="52">
        <f>C7*B10</f>
        <v>26850</v>
      </c>
      <c r="D10" s="21"/>
      <c r="E10" s="64" t="s">
        <v>34</v>
      </c>
      <c r="F10" s="61">
        <f>40000/52*37</f>
        <v>28461.538461538465</v>
      </c>
      <c r="G10" s="61">
        <v>3500</v>
      </c>
      <c r="H10" s="61">
        <f>F10-G10</f>
        <v>24961.538461538465</v>
      </c>
      <c r="I10" s="62">
        <f>H10*4.95%</f>
        <v>1235.596153846154</v>
      </c>
      <c r="K10" s="32" t="s">
        <v>27</v>
      </c>
    </row>
    <row r="11" spans="1:11" x14ac:dyDescent="0.3">
      <c r="A11" s="20"/>
      <c r="B11" s="21"/>
      <c r="C11" s="23"/>
      <c r="D11" s="21"/>
      <c r="E11" s="65" t="s">
        <v>55</v>
      </c>
      <c r="F11" s="11">
        <f>45000/52*17</f>
        <v>14711.538461538461</v>
      </c>
      <c r="G11" s="11">
        <v>3500</v>
      </c>
      <c r="H11" s="11">
        <f>F11-G11</f>
        <v>11211.538461538461</v>
      </c>
      <c r="I11" s="63">
        <f>H11*4.95%</f>
        <v>554.97115384615381</v>
      </c>
      <c r="K11" s="32" t="s">
        <v>28</v>
      </c>
    </row>
    <row r="12" spans="1:11" x14ac:dyDescent="0.3">
      <c r="A12" s="24" t="s">
        <v>2</v>
      </c>
      <c r="B12" s="21"/>
      <c r="C12" s="50">
        <v>955.04</v>
      </c>
      <c r="D12" s="21"/>
      <c r="E12" s="69"/>
      <c r="F12" s="70"/>
      <c r="G12" s="70"/>
      <c r="H12" s="71"/>
      <c r="I12" s="71"/>
    </row>
    <row r="13" spans="1:11" x14ac:dyDescent="0.3">
      <c r="A13" s="20" t="s">
        <v>4</v>
      </c>
      <c r="B13" s="21">
        <v>33</v>
      </c>
      <c r="C13" s="53"/>
      <c r="D13" s="21"/>
      <c r="E13" s="72"/>
      <c r="F13" s="73"/>
      <c r="G13" s="73"/>
      <c r="H13" s="73"/>
      <c r="I13" s="74"/>
      <c r="K13" s="4" t="s">
        <v>29</v>
      </c>
    </row>
    <row r="14" spans="1:11" x14ac:dyDescent="0.3">
      <c r="A14" s="20" t="s">
        <v>5</v>
      </c>
      <c r="B14" s="21">
        <v>65</v>
      </c>
      <c r="C14" s="50"/>
      <c r="D14" s="21"/>
      <c r="E14" s="72"/>
      <c r="F14" s="73"/>
      <c r="G14" s="73"/>
      <c r="H14" s="73"/>
      <c r="I14" s="74"/>
    </row>
    <row r="15" spans="1:11" x14ac:dyDescent="0.3">
      <c r="A15" s="28" t="s">
        <v>6</v>
      </c>
      <c r="B15" s="3">
        <f>B14-B13</f>
        <v>32</v>
      </c>
      <c r="C15" s="54">
        <f>C12*B15</f>
        <v>30561.279999999999</v>
      </c>
      <c r="D15" s="21"/>
      <c r="E15" s="72"/>
      <c r="F15" s="72"/>
      <c r="G15" s="72"/>
      <c r="H15" s="72"/>
      <c r="I15" s="72"/>
    </row>
    <row r="16" spans="1:11" x14ac:dyDescent="0.3">
      <c r="D16" s="22"/>
    </row>
    <row r="19" spans="1:11" ht="18" x14ac:dyDescent="0.35">
      <c r="A19" s="84" t="s">
        <v>30</v>
      </c>
      <c r="B19" s="82"/>
      <c r="C19" s="82"/>
      <c r="D19" s="82"/>
      <c r="E19" s="82"/>
      <c r="F19" s="82"/>
      <c r="G19" s="82"/>
      <c r="H19" s="82"/>
      <c r="I19" s="82"/>
      <c r="J19" s="82"/>
    </row>
    <row r="20" spans="1:11" x14ac:dyDescent="0.3">
      <c r="E20" s="56" t="s">
        <v>67</v>
      </c>
      <c r="F20" s="56"/>
      <c r="G20" s="56"/>
      <c r="H20" s="57"/>
      <c r="I20" s="56" t="s">
        <v>68</v>
      </c>
      <c r="J20" s="3"/>
      <c r="K20" s="3"/>
    </row>
    <row r="21" spans="1:11" x14ac:dyDescent="0.3">
      <c r="E21" s="58" t="s">
        <v>58</v>
      </c>
      <c r="F21" s="57"/>
      <c r="G21" s="57"/>
      <c r="H21" s="57"/>
      <c r="I21" s="58" t="s">
        <v>69</v>
      </c>
    </row>
    <row r="22" spans="1:11" x14ac:dyDescent="0.3">
      <c r="E22" s="58" t="s">
        <v>59</v>
      </c>
      <c r="F22" s="57"/>
      <c r="G22" s="57"/>
      <c r="H22" s="57"/>
      <c r="I22" s="58" t="s">
        <v>70</v>
      </c>
    </row>
    <row r="23" spans="1:11" x14ac:dyDescent="0.3">
      <c r="E23" s="58" t="s">
        <v>66</v>
      </c>
      <c r="F23" s="57"/>
      <c r="G23" s="57"/>
      <c r="H23" s="57"/>
      <c r="I23" s="58" t="s">
        <v>71</v>
      </c>
    </row>
    <row r="24" spans="1:11" x14ac:dyDescent="0.3">
      <c r="A24" s="48" t="s">
        <v>32</v>
      </c>
      <c r="E24" s="48" t="s">
        <v>56</v>
      </c>
      <c r="F24" s="3"/>
      <c r="I24" s="48" t="s">
        <v>61</v>
      </c>
      <c r="J24" s="3"/>
    </row>
    <row r="26" spans="1:11" x14ac:dyDescent="0.3">
      <c r="A26" s="34" t="s">
        <v>33</v>
      </c>
      <c r="B26" s="1"/>
      <c r="E26" s="34" t="s">
        <v>33</v>
      </c>
      <c r="F26" s="1"/>
      <c r="I26" s="34" t="s">
        <v>33</v>
      </c>
      <c r="J26" s="1"/>
    </row>
    <row r="27" spans="1:11" x14ac:dyDescent="0.3">
      <c r="A27" t="s">
        <v>34</v>
      </c>
      <c r="B27" s="2">
        <v>60000</v>
      </c>
      <c r="E27" t="s">
        <v>34</v>
      </c>
      <c r="F27" s="2">
        <f>C10</f>
        <v>26850</v>
      </c>
      <c r="I27" t="s">
        <v>34</v>
      </c>
      <c r="J27" s="2">
        <v>60000</v>
      </c>
    </row>
    <row r="28" spans="1:11" x14ac:dyDescent="0.3">
      <c r="A28" t="s">
        <v>35</v>
      </c>
      <c r="B28" s="2">
        <v>45000</v>
      </c>
      <c r="E28" t="s">
        <v>35</v>
      </c>
      <c r="F28" s="2">
        <v>45000</v>
      </c>
      <c r="I28" t="s">
        <v>35</v>
      </c>
      <c r="J28" s="2">
        <v>45000</v>
      </c>
    </row>
    <row r="29" spans="1:11" x14ac:dyDescent="0.3">
      <c r="A29" t="s">
        <v>65</v>
      </c>
      <c r="B29" s="1">
        <v>0</v>
      </c>
      <c r="E29" t="s">
        <v>60</v>
      </c>
      <c r="F29" s="1">
        <f>160*12</f>
        <v>1920</v>
      </c>
      <c r="I29" t="s">
        <v>60</v>
      </c>
      <c r="J29" s="2">
        <f>160*12</f>
        <v>1920</v>
      </c>
    </row>
    <row r="30" spans="1:11" x14ac:dyDescent="0.3">
      <c r="B30" s="1"/>
      <c r="F30" s="1"/>
      <c r="J30" s="1"/>
    </row>
    <row r="31" spans="1:11" x14ac:dyDescent="0.3">
      <c r="A31" s="34" t="s">
        <v>38</v>
      </c>
      <c r="B31" s="1"/>
      <c r="E31" s="34" t="s">
        <v>38</v>
      </c>
      <c r="F31" s="34"/>
      <c r="G31" s="1"/>
      <c r="I31" s="34" t="s">
        <v>38</v>
      </c>
      <c r="J31" s="1"/>
    </row>
    <row r="32" spans="1:11" x14ac:dyDescent="0.3">
      <c r="A32" s="35" t="s">
        <v>39</v>
      </c>
      <c r="B32" s="2">
        <f>IF(B27*C32&gt;955.04, 955.04, B27*C32)</f>
        <v>955.04</v>
      </c>
      <c r="C32" s="40">
        <f>955.04/50800</f>
        <v>1.8800000000000001E-2</v>
      </c>
      <c r="E32" s="35" t="s">
        <v>39</v>
      </c>
      <c r="F32" s="2">
        <v>0</v>
      </c>
      <c r="G32" s="40">
        <f>955.04/50800</f>
        <v>1.8800000000000001E-2</v>
      </c>
      <c r="I32" s="35" t="s">
        <v>39</v>
      </c>
      <c r="J32" s="2">
        <f>IF(J27*K32&gt;955.04, 955.04, J27*K32)</f>
        <v>955.04</v>
      </c>
      <c r="K32" s="40">
        <f>955.04/50800</f>
        <v>1.8800000000000001E-2</v>
      </c>
    </row>
    <row r="33" spans="1:11" x14ac:dyDescent="0.3">
      <c r="A33" s="35" t="s">
        <v>40</v>
      </c>
      <c r="B33" s="2">
        <f>IF(B28*C33&gt;955.04, 955.04, B28*C33)</f>
        <v>846</v>
      </c>
      <c r="C33" s="40">
        <f>955.04/50800</f>
        <v>1.8800000000000001E-2</v>
      </c>
      <c r="E33" s="35" t="s">
        <v>40</v>
      </c>
      <c r="F33" s="2">
        <f>IF(F28*G33&gt;955.04, 955.04, F28*G33)</f>
        <v>846</v>
      </c>
      <c r="G33" s="40">
        <f>955.04/50800</f>
        <v>1.8800000000000001E-2</v>
      </c>
      <c r="I33" s="35" t="s">
        <v>40</v>
      </c>
      <c r="J33" s="2">
        <f>IF(J28*K33&gt;955.04, 955.04, J28*K33)</f>
        <v>846</v>
      </c>
      <c r="K33" s="40">
        <f>955.04/50800</f>
        <v>1.8800000000000001E-2</v>
      </c>
    </row>
    <row r="34" spans="1:11" x14ac:dyDescent="0.3">
      <c r="A34" s="35" t="s">
        <v>41</v>
      </c>
      <c r="B34" s="2">
        <f>I7</f>
        <v>2544.3000000000002</v>
      </c>
      <c r="C34" s="41" t="s">
        <v>47</v>
      </c>
      <c r="E34" s="35" t="s">
        <v>41</v>
      </c>
      <c r="F34" s="2">
        <v>0</v>
      </c>
      <c r="G34" s="41" t="s">
        <v>74</v>
      </c>
      <c r="I34" s="35" t="s">
        <v>41</v>
      </c>
      <c r="J34" s="2">
        <f>I7</f>
        <v>2544.3000000000002</v>
      </c>
      <c r="K34" s="41" t="s">
        <v>47</v>
      </c>
    </row>
    <row r="35" spans="1:11" x14ac:dyDescent="0.3">
      <c r="A35" s="35" t="s">
        <v>42</v>
      </c>
      <c r="B35" s="2">
        <f>I8</f>
        <v>2054.25</v>
      </c>
      <c r="C35" s="41" t="s">
        <v>47</v>
      </c>
      <c r="E35" s="35" t="s">
        <v>42</v>
      </c>
      <c r="F35" s="2">
        <f>I8</f>
        <v>2054.25</v>
      </c>
      <c r="G35" s="41" t="s">
        <v>47</v>
      </c>
      <c r="I35" s="35" t="s">
        <v>42</v>
      </c>
      <c r="J35" s="2">
        <f>I8</f>
        <v>2054.25</v>
      </c>
      <c r="K35" s="41" t="s">
        <v>47</v>
      </c>
    </row>
    <row r="36" spans="1:11" x14ac:dyDescent="0.3">
      <c r="A36" s="35" t="s">
        <v>48</v>
      </c>
      <c r="B36" s="2">
        <v>11370</v>
      </c>
      <c r="C36" s="42">
        <f>B36/B27</f>
        <v>0.1895</v>
      </c>
      <c r="E36" s="35" t="s">
        <v>48</v>
      </c>
      <c r="F36" s="2">
        <v>3157</v>
      </c>
      <c r="G36" s="42">
        <f>F36/F27</f>
        <v>0.11757914338919925</v>
      </c>
      <c r="I36" s="35" t="s">
        <v>48</v>
      </c>
      <c r="J36" s="2">
        <v>11370</v>
      </c>
      <c r="K36" s="42">
        <f>J36/J27</f>
        <v>0.1895</v>
      </c>
    </row>
    <row r="37" spans="1:11" x14ac:dyDescent="0.3">
      <c r="A37" t="s">
        <v>49</v>
      </c>
      <c r="B37" s="2">
        <v>6937</v>
      </c>
      <c r="C37" s="42">
        <f>B37/B28</f>
        <v>0.15415555555555555</v>
      </c>
      <c r="E37" t="s">
        <v>49</v>
      </c>
      <c r="F37" s="2">
        <v>6937</v>
      </c>
      <c r="G37" s="42">
        <f>F37/F28</f>
        <v>0.15415555555555555</v>
      </c>
      <c r="I37" t="s">
        <v>72</v>
      </c>
      <c r="J37" s="2">
        <v>4630</v>
      </c>
      <c r="K37" s="42">
        <f>J37/J28</f>
        <v>0.10288888888888889</v>
      </c>
    </row>
    <row r="38" spans="1:11" x14ac:dyDescent="0.3">
      <c r="B38" s="1"/>
      <c r="C38" s="41"/>
      <c r="F38" s="1"/>
      <c r="G38" s="41"/>
      <c r="J38" s="1"/>
      <c r="K38" s="41"/>
    </row>
    <row r="39" spans="1:11" x14ac:dyDescent="0.3">
      <c r="A39" s="34" t="s">
        <v>37</v>
      </c>
      <c r="B39" s="1"/>
      <c r="E39" s="34" t="s">
        <v>37</v>
      </c>
      <c r="F39" s="1"/>
      <c r="I39" s="34" t="s">
        <v>37</v>
      </c>
      <c r="J39" s="1"/>
    </row>
    <row r="40" spans="1:11" x14ac:dyDescent="0.3">
      <c r="A40" t="s">
        <v>34</v>
      </c>
      <c r="B40" s="2">
        <f>B27-B36-B34-B32</f>
        <v>45130.659999999996</v>
      </c>
      <c r="E40" t="s">
        <v>34</v>
      </c>
      <c r="F40" s="2">
        <f>F27-F36-F34-F32</f>
        <v>23693</v>
      </c>
      <c r="I40" t="s">
        <v>34</v>
      </c>
      <c r="J40" s="2">
        <f>J27-J36-J34-J32</f>
        <v>45130.659999999996</v>
      </c>
    </row>
    <row r="41" spans="1:11" x14ac:dyDescent="0.3">
      <c r="A41" t="s">
        <v>35</v>
      </c>
      <c r="B41" s="22">
        <f>B28-B37-B35-B33</f>
        <v>35162.75</v>
      </c>
      <c r="E41" t="s">
        <v>35</v>
      </c>
      <c r="F41" s="22">
        <f>F28-F37-F35-F33</f>
        <v>35162.75</v>
      </c>
      <c r="I41" t="s">
        <v>35</v>
      </c>
      <c r="J41" s="22">
        <f>J28-J37-J35-J33</f>
        <v>37469.75</v>
      </c>
    </row>
    <row r="42" spans="1:11" x14ac:dyDescent="0.3">
      <c r="A42" t="s">
        <v>60</v>
      </c>
      <c r="B42" s="29">
        <f>B29</f>
        <v>0</v>
      </c>
      <c r="E42" t="s">
        <v>60</v>
      </c>
      <c r="F42" s="29">
        <f>F29</f>
        <v>1920</v>
      </c>
      <c r="I42" t="s">
        <v>60</v>
      </c>
      <c r="J42" s="29">
        <f>J29</f>
        <v>1920</v>
      </c>
    </row>
    <row r="43" spans="1:11" x14ac:dyDescent="0.3">
      <c r="B43" s="2">
        <f>B40+B41+B42</f>
        <v>80293.41</v>
      </c>
      <c r="F43" s="2">
        <f>F40+F41+F42</f>
        <v>60775.75</v>
      </c>
      <c r="J43" s="2">
        <f>J40+J41+J42</f>
        <v>84520.41</v>
      </c>
    </row>
    <row r="44" spans="1:11" x14ac:dyDescent="0.3">
      <c r="B44" s="1"/>
      <c r="F44" s="1"/>
      <c r="J44" s="1"/>
    </row>
    <row r="45" spans="1:11" x14ac:dyDescent="0.3">
      <c r="A45" s="34" t="s">
        <v>36</v>
      </c>
      <c r="B45" s="1"/>
      <c r="E45" s="34" t="s">
        <v>36</v>
      </c>
      <c r="F45" s="1"/>
      <c r="I45" s="34" t="s">
        <v>36</v>
      </c>
      <c r="J45" s="1"/>
    </row>
    <row r="46" spans="1:11" x14ac:dyDescent="0.3">
      <c r="A46" t="s">
        <v>73</v>
      </c>
      <c r="B46" s="1">
        <f>5500*12</f>
        <v>66000</v>
      </c>
      <c r="E46" t="s">
        <v>73</v>
      </c>
      <c r="F46" s="1">
        <f>5500*12</f>
        <v>66000</v>
      </c>
      <c r="I46" t="s">
        <v>73</v>
      </c>
      <c r="J46" s="1">
        <f>5500*12</f>
        <v>66000</v>
      </c>
    </row>
    <row r="47" spans="1:11" x14ac:dyDescent="0.3">
      <c r="A47" t="s">
        <v>64</v>
      </c>
      <c r="B47">
        <v>0</v>
      </c>
      <c r="E47" t="s">
        <v>64</v>
      </c>
      <c r="F47" s="1"/>
      <c r="I47" t="s">
        <v>63</v>
      </c>
      <c r="J47" s="1">
        <f>900*12</f>
        <v>10800</v>
      </c>
    </row>
    <row r="48" spans="1:11" x14ac:dyDescent="0.3">
      <c r="A48" t="s">
        <v>53</v>
      </c>
      <c r="B48" s="1">
        <f>300*12</f>
        <v>3600</v>
      </c>
      <c r="E48" s="55" t="s">
        <v>51</v>
      </c>
      <c r="F48" s="1">
        <f>200*12</f>
        <v>2400</v>
      </c>
      <c r="I48" s="55" t="s">
        <v>51</v>
      </c>
      <c r="J48" s="1">
        <f>200*12</f>
        <v>2400</v>
      </c>
    </row>
    <row r="49" spans="1:10" x14ac:dyDescent="0.3">
      <c r="A49" t="s">
        <v>50</v>
      </c>
      <c r="B49" s="11">
        <f>500*12</f>
        <v>6000</v>
      </c>
      <c r="E49" s="55" t="s">
        <v>57</v>
      </c>
      <c r="F49" s="11">
        <v>0</v>
      </c>
      <c r="I49" s="55" t="s">
        <v>62</v>
      </c>
      <c r="J49" s="11">
        <f>400*12</f>
        <v>4800</v>
      </c>
    </row>
    <row r="50" spans="1:10" x14ac:dyDescent="0.3">
      <c r="B50" s="10">
        <f>SUM(B46:B49)</f>
        <v>75600</v>
      </c>
      <c r="F50" s="10">
        <f>SUM(F46:F49)</f>
        <v>68400</v>
      </c>
      <c r="J50" s="10">
        <f>SUM(J46:J49)</f>
        <v>84000</v>
      </c>
    </row>
    <row r="52" spans="1:10" x14ac:dyDescent="0.3">
      <c r="A52" s="82" t="s">
        <v>52</v>
      </c>
      <c r="B52" s="83">
        <f>B43-B50</f>
        <v>4693.4100000000035</v>
      </c>
      <c r="C52" s="82"/>
      <c r="D52" s="82"/>
      <c r="E52" s="82" t="s">
        <v>52</v>
      </c>
      <c r="F52" s="83">
        <f>F43-F50</f>
        <v>-7624.25</v>
      </c>
      <c r="G52" s="82"/>
      <c r="H52" s="82"/>
      <c r="I52" s="82" t="s">
        <v>52</v>
      </c>
      <c r="J52" s="83">
        <f>J43-J50</f>
        <v>520.41000000000349</v>
      </c>
    </row>
    <row r="55" spans="1:10" ht="18" x14ac:dyDescent="0.35">
      <c r="A55" s="81" t="s">
        <v>75</v>
      </c>
      <c r="B55" s="15"/>
      <c r="C55" s="15"/>
      <c r="D55" s="15"/>
      <c r="E55" s="15"/>
      <c r="F55" s="15"/>
      <c r="G55" s="15"/>
      <c r="H55" s="15"/>
      <c r="I55" s="15"/>
      <c r="J55" s="15"/>
    </row>
    <row r="58" spans="1:10" x14ac:dyDescent="0.3">
      <c r="A58" s="48" t="s">
        <v>32</v>
      </c>
      <c r="E58" s="48" t="s">
        <v>56</v>
      </c>
      <c r="F58" s="3"/>
      <c r="I58" s="48" t="s">
        <v>61</v>
      </c>
      <c r="J58" s="3"/>
    </row>
    <row r="60" spans="1:10" x14ac:dyDescent="0.3">
      <c r="A60" s="34" t="s">
        <v>33</v>
      </c>
      <c r="B60" s="1"/>
      <c r="E60" s="34" t="s">
        <v>33</v>
      </c>
      <c r="F60" s="1"/>
      <c r="I60" s="34" t="s">
        <v>33</v>
      </c>
      <c r="J60" s="1"/>
    </row>
    <row r="61" spans="1:10" x14ac:dyDescent="0.3">
      <c r="A61" t="s">
        <v>34</v>
      </c>
      <c r="B61" s="2">
        <v>60000</v>
      </c>
      <c r="E61" t="s">
        <v>76</v>
      </c>
      <c r="F61" s="2">
        <f>(((26850/52)*15)+((40000/52)*37))</f>
        <v>36206.730769230773</v>
      </c>
      <c r="I61" t="s">
        <v>34</v>
      </c>
      <c r="J61" s="2">
        <v>60000</v>
      </c>
    </row>
    <row r="62" spans="1:10" x14ac:dyDescent="0.3">
      <c r="A62" t="s">
        <v>35</v>
      </c>
      <c r="B62" s="2">
        <v>45000</v>
      </c>
      <c r="E62" t="s">
        <v>77</v>
      </c>
      <c r="F62" s="2">
        <f>(((45000/52)*17)+((24750/52)*35))</f>
        <v>31370.192307692309</v>
      </c>
      <c r="I62" t="s">
        <v>35</v>
      </c>
      <c r="J62" s="2">
        <v>45000</v>
      </c>
    </row>
    <row r="63" spans="1:10" x14ac:dyDescent="0.3">
      <c r="A63" t="s">
        <v>65</v>
      </c>
      <c r="B63" s="1">
        <v>0</v>
      </c>
      <c r="E63" t="s">
        <v>60</v>
      </c>
      <c r="F63" s="1">
        <f>160*12</f>
        <v>1920</v>
      </c>
      <c r="I63" t="s">
        <v>60</v>
      </c>
      <c r="J63" s="2">
        <f>160*12</f>
        <v>1920</v>
      </c>
    </row>
    <row r="64" spans="1:10" x14ac:dyDescent="0.3">
      <c r="B64" s="1"/>
      <c r="F64" s="1"/>
      <c r="J64" s="1"/>
    </row>
    <row r="65" spans="1:11" x14ac:dyDescent="0.3">
      <c r="A65" s="34" t="s">
        <v>38</v>
      </c>
      <c r="B65" s="1"/>
      <c r="E65" s="34" t="s">
        <v>38</v>
      </c>
      <c r="F65" s="34"/>
      <c r="G65" s="1"/>
      <c r="I65" s="34" t="s">
        <v>38</v>
      </c>
      <c r="J65" s="1"/>
    </row>
    <row r="66" spans="1:11" x14ac:dyDescent="0.3">
      <c r="A66" s="35" t="s">
        <v>39</v>
      </c>
      <c r="B66" s="2">
        <f>IF(B61*C66&gt;955.04, 955.04, B61*C66)</f>
        <v>955.04</v>
      </c>
      <c r="C66" s="40">
        <f>955.04/50800</f>
        <v>1.8800000000000001E-2</v>
      </c>
      <c r="E66" s="35" t="s">
        <v>39</v>
      </c>
      <c r="F66" s="2">
        <f>((40000/52)*37)*G67</f>
        <v>535.07692307692321</v>
      </c>
      <c r="G66" s="40">
        <f>955.04/50800</f>
        <v>1.8800000000000001E-2</v>
      </c>
      <c r="I66" s="35" t="s">
        <v>39</v>
      </c>
      <c r="J66" s="2">
        <f>IF(J61*K66&gt;955.04, 955.04, J61*K66)</f>
        <v>955.04</v>
      </c>
      <c r="K66" s="40">
        <f>955.04/50800</f>
        <v>1.8800000000000001E-2</v>
      </c>
    </row>
    <row r="67" spans="1:11" x14ac:dyDescent="0.3">
      <c r="A67" s="35" t="s">
        <v>40</v>
      </c>
      <c r="B67" s="2">
        <f>IF(B62*C67&gt;955.04, 955.04, B62*C67)</f>
        <v>846</v>
      </c>
      <c r="C67" s="40">
        <f>955.04/50800</f>
        <v>1.8800000000000001E-2</v>
      </c>
      <c r="E67" s="35" t="s">
        <v>40</v>
      </c>
      <c r="F67" s="2">
        <f>((45000/52)*17)*G67</f>
        <v>276.57692307692309</v>
      </c>
      <c r="G67" s="40">
        <f>955.04/50800</f>
        <v>1.8800000000000001E-2</v>
      </c>
      <c r="I67" s="35" t="s">
        <v>40</v>
      </c>
      <c r="J67" s="2">
        <f>IF(J62*K67&gt;955.04, 955.04, J62*K67)</f>
        <v>846</v>
      </c>
      <c r="K67" s="40">
        <f>955.04/50800</f>
        <v>1.8800000000000001E-2</v>
      </c>
    </row>
    <row r="68" spans="1:11" x14ac:dyDescent="0.3">
      <c r="A68" s="35" t="s">
        <v>41</v>
      </c>
      <c r="B68" s="2">
        <f>I7</f>
        <v>2544.3000000000002</v>
      </c>
      <c r="C68" s="41" t="s">
        <v>47</v>
      </c>
      <c r="E68" s="35" t="s">
        <v>41</v>
      </c>
      <c r="F68" s="2">
        <f>I10</f>
        <v>1235.596153846154</v>
      </c>
      <c r="G68" s="41" t="s">
        <v>74</v>
      </c>
      <c r="I68" s="35" t="s">
        <v>41</v>
      </c>
      <c r="J68" s="2">
        <f>I7</f>
        <v>2544.3000000000002</v>
      </c>
      <c r="K68" s="41" t="s">
        <v>47</v>
      </c>
    </row>
    <row r="69" spans="1:11" x14ac:dyDescent="0.3">
      <c r="A69" s="35" t="s">
        <v>42</v>
      </c>
      <c r="B69" s="2">
        <f>I8</f>
        <v>2054.25</v>
      </c>
      <c r="C69" s="41" t="s">
        <v>47</v>
      </c>
      <c r="E69" s="35" t="s">
        <v>42</v>
      </c>
      <c r="F69" s="2">
        <f>I11</f>
        <v>554.97115384615381</v>
      </c>
      <c r="G69" s="41" t="s">
        <v>47</v>
      </c>
      <c r="I69" s="35" t="s">
        <v>42</v>
      </c>
      <c r="J69" s="2">
        <f>I8</f>
        <v>2054.25</v>
      </c>
      <c r="K69" s="41" t="s">
        <v>47</v>
      </c>
    </row>
    <row r="70" spans="1:11" x14ac:dyDescent="0.3">
      <c r="A70" s="35" t="s">
        <v>48</v>
      </c>
      <c r="B70" s="2">
        <v>11370</v>
      </c>
      <c r="C70" s="42">
        <f>B70/B61</f>
        <v>0.1895</v>
      </c>
      <c r="E70" s="35" t="s">
        <v>48</v>
      </c>
      <c r="F70" s="2">
        <v>5033</v>
      </c>
      <c r="G70" s="42">
        <f>F70/F61</f>
        <v>0.13900730314699242</v>
      </c>
      <c r="I70" s="35" t="s">
        <v>48</v>
      </c>
      <c r="J70" s="2">
        <v>11370</v>
      </c>
      <c r="K70" s="42">
        <f>J70/J61</f>
        <v>0.1895</v>
      </c>
    </row>
    <row r="71" spans="1:11" x14ac:dyDescent="0.3">
      <c r="A71" t="s">
        <v>49</v>
      </c>
      <c r="B71" s="2">
        <v>6937</v>
      </c>
      <c r="C71" s="42">
        <f>B71/B62</f>
        <v>0.15415555555555555</v>
      </c>
      <c r="E71" t="s">
        <v>49</v>
      </c>
      <c r="F71" s="2">
        <v>4063</v>
      </c>
      <c r="G71" s="42">
        <f>F71/F62</f>
        <v>0.12951785440613026</v>
      </c>
      <c r="I71" t="s">
        <v>72</v>
      </c>
      <c r="J71" s="2">
        <v>4630</v>
      </c>
      <c r="K71" s="42">
        <f>J71/J62</f>
        <v>0.10288888888888889</v>
      </c>
    </row>
    <row r="72" spans="1:11" x14ac:dyDescent="0.3">
      <c r="B72" s="1"/>
      <c r="C72" s="41"/>
      <c r="F72" s="1"/>
      <c r="G72" s="41"/>
      <c r="J72" s="1"/>
      <c r="K72" s="41"/>
    </row>
    <row r="73" spans="1:11" x14ac:dyDescent="0.3">
      <c r="A73" s="34" t="s">
        <v>37</v>
      </c>
      <c r="B73" s="1"/>
      <c r="E73" s="34" t="s">
        <v>37</v>
      </c>
      <c r="F73" s="1"/>
      <c r="I73" s="34" t="s">
        <v>37</v>
      </c>
      <c r="J73" s="1"/>
    </row>
    <row r="74" spans="1:11" x14ac:dyDescent="0.3">
      <c r="A74" t="s">
        <v>34</v>
      </c>
      <c r="B74" s="2">
        <f>B61-B70-B68-B66</f>
        <v>45130.659999999996</v>
      </c>
      <c r="E74" t="s">
        <v>34</v>
      </c>
      <c r="F74" s="2">
        <f>F61-F70-F68-F66</f>
        <v>29403.057692307699</v>
      </c>
      <c r="I74" t="s">
        <v>34</v>
      </c>
      <c r="J74" s="2">
        <f>J61-J70-J68-J66</f>
        <v>45130.659999999996</v>
      </c>
    </row>
    <row r="75" spans="1:11" x14ac:dyDescent="0.3">
      <c r="A75" t="s">
        <v>35</v>
      </c>
      <c r="B75" s="22">
        <f>B62-B71-B69-B67</f>
        <v>35162.75</v>
      </c>
      <c r="E75" t="s">
        <v>35</v>
      </c>
      <c r="F75" s="22">
        <f>F62-F71-F69-F67</f>
        <v>26475.644230769234</v>
      </c>
      <c r="I75" t="s">
        <v>35</v>
      </c>
      <c r="J75" s="22">
        <f>J62-J71-J69-J67</f>
        <v>37469.75</v>
      </c>
    </row>
    <row r="76" spans="1:11" x14ac:dyDescent="0.3">
      <c r="A76" t="s">
        <v>60</v>
      </c>
      <c r="B76" s="29">
        <f>B63</f>
        <v>0</v>
      </c>
      <c r="E76" t="s">
        <v>60</v>
      </c>
      <c r="F76" s="29">
        <f>F63</f>
        <v>1920</v>
      </c>
      <c r="I76" t="s">
        <v>60</v>
      </c>
      <c r="J76" s="29">
        <f>J63</f>
        <v>1920</v>
      </c>
    </row>
    <row r="77" spans="1:11" x14ac:dyDescent="0.3">
      <c r="B77" s="2">
        <f>B74+B75+B76</f>
        <v>80293.41</v>
      </c>
      <c r="F77" s="2">
        <f>F74+F75+F76</f>
        <v>57798.701923076937</v>
      </c>
      <c r="J77" s="2">
        <f>J74+J75+J76</f>
        <v>84520.41</v>
      </c>
    </row>
    <row r="78" spans="1:11" x14ac:dyDescent="0.3">
      <c r="B78" s="1"/>
      <c r="F78" s="1"/>
      <c r="J78" s="1"/>
    </row>
    <row r="79" spans="1:11" x14ac:dyDescent="0.3">
      <c r="A79" s="34" t="s">
        <v>36</v>
      </c>
      <c r="B79" s="1"/>
      <c r="E79" s="34" t="s">
        <v>36</v>
      </c>
      <c r="F79" s="1"/>
      <c r="I79" s="34" t="s">
        <v>36</v>
      </c>
      <c r="J79" s="1"/>
    </row>
    <row r="80" spans="1:11" x14ac:dyDescent="0.3">
      <c r="A80" t="s">
        <v>73</v>
      </c>
      <c r="B80" s="1">
        <f>5500*12</f>
        <v>66000</v>
      </c>
      <c r="E80" t="s">
        <v>73</v>
      </c>
      <c r="F80" s="1">
        <f>5500*12</f>
        <v>66000</v>
      </c>
      <c r="I80" t="s">
        <v>73</v>
      </c>
      <c r="J80" s="1">
        <f>5500*12</f>
        <v>66000</v>
      </c>
    </row>
    <row r="81" spans="1:10" x14ac:dyDescent="0.3">
      <c r="A81" t="s">
        <v>64</v>
      </c>
      <c r="B81">
        <v>0</v>
      </c>
      <c r="E81" t="s">
        <v>64</v>
      </c>
      <c r="F81" s="1"/>
      <c r="I81" t="s">
        <v>63</v>
      </c>
      <c r="J81" s="1">
        <f>900*12</f>
        <v>10800</v>
      </c>
    </row>
    <row r="82" spans="1:10" x14ac:dyDescent="0.3">
      <c r="A82" t="s">
        <v>53</v>
      </c>
      <c r="B82" s="1">
        <f>300*12</f>
        <v>3600</v>
      </c>
      <c r="E82" s="55" t="s">
        <v>51</v>
      </c>
      <c r="F82" s="1">
        <f>200*12</f>
        <v>2400</v>
      </c>
      <c r="I82" s="55" t="s">
        <v>51</v>
      </c>
      <c r="J82" s="1">
        <f>200*12</f>
        <v>2400</v>
      </c>
    </row>
    <row r="83" spans="1:10" x14ac:dyDescent="0.3">
      <c r="A83" t="s">
        <v>50</v>
      </c>
      <c r="B83" s="11">
        <f>500*12</f>
        <v>6000</v>
      </c>
      <c r="E83" s="55" t="s">
        <v>57</v>
      </c>
      <c r="F83" s="11">
        <v>0</v>
      </c>
      <c r="I83" s="55" t="s">
        <v>62</v>
      </c>
      <c r="J83" s="11">
        <f>400*12</f>
        <v>4800</v>
      </c>
    </row>
    <row r="84" spans="1:10" x14ac:dyDescent="0.3">
      <c r="B84" s="10">
        <f>SUM(B80:B83)</f>
        <v>75600</v>
      </c>
      <c r="F84" s="10">
        <f>SUM(F80:F83)</f>
        <v>68400</v>
      </c>
      <c r="J84" s="10">
        <f>SUM(J80:J83)</f>
        <v>84000</v>
      </c>
    </row>
    <row r="86" spans="1:10" x14ac:dyDescent="0.3">
      <c r="A86" s="15" t="s">
        <v>89</v>
      </c>
      <c r="B86" s="79">
        <f>B77-B84</f>
        <v>4693.4100000000035</v>
      </c>
      <c r="C86" s="15"/>
      <c r="D86" s="15"/>
      <c r="E86" s="15" t="s">
        <v>90</v>
      </c>
      <c r="F86" s="79">
        <f>F77-F84</f>
        <v>-10601.298076923063</v>
      </c>
      <c r="G86" s="15"/>
      <c r="H86" s="15"/>
      <c r="I86" s="15" t="s">
        <v>91</v>
      </c>
      <c r="J86" s="79">
        <f>J77-J84</f>
        <v>520.41000000000349</v>
      </c>
    </row>
    <row r="87" spans="1:10" x14ac:dyDescent="0.3">
      <c r="B87" s="43"/>
      <c r="F87" s="43"/>
      <c r="J87" s="43"/>
    </row>
    <row r="88" spans="1:10" x14ac:dyDescent="0.3">
      <c r="B88" s="43"/>
      <c r="E88" t="s">
        <v>83</v>
      </c>
      <c r="F88" s="43">
        <f>B86</f>
        <v>4693.4100000000035</v>
      </c>
      <c r="J88" s="43"/>
    </row>
    <row r="89" spans="1:10" x14ac:dyDescent="0.3">
      <c r="B89" s="43"/>
      <c r="E89" t="s">
        <v>84</v>
      </c>
      <c r="F89" s="3">
        <v>1.5</v>
      </c>
      <c r="J89" s="43"/>
    </row>
    <row r="90" spans="1:10" x14ac:dyDescent="0.3">
      <c r="B90" s="43"/>
      <c r="E90" t="s">
        <v>85</v>
      </c>
      <c r="F90" s="75">
        <f>F88*F89</f>
        <v>7040.1150000000052</v>
      </c>
      <c r="J90" s="43"/>
    </row>
    <row r="91" spans="1:10" x14ac:dyDescent="0.3">
      <c r="E91" s="8" t="s">
        <v>86</v>
      </c>
      <c r="F91" s="76">
        <f>F86+F90</f>
        <v>-3561.1830769230583</v>
      </c>
    </row>
    <row r="92" spans="1:10" x14ac:dyDescent="0.3">
      <c r="E92" s="8"/>
      <c r="F92" s="76"/>
    </row>
    <row r="93" spans="1:10" x14ac:dyDescent="0.3">
      <c r="E93" s="58" t="s">
        <v>87</v>
      </c>
      <c r="F93" s="76"/>
    </row>
    <row r="95" spans="1:10" ht="18" x14ac:dyDescent="0.35">
      <c r="A95" s="80" t="s">
        <v>78</v>
      </c>
      <c r="B95" s="77"/>
      <c r="C95" s="77"/>
      <c r="D95" s="77"/>
      <c r="E95" s="77"/>
      <c r="F95" s="77"/>
      <c r="G95" s="77"/>
      <c r="H95" s="77"/>
      <c r="I95" s="77"/>
      <c r="J95" s="77"/>
    </row>
    <row r="98" spans="1:11" x14ac:dyDescent="0.3">
      <c r="A98" s="48" t="s">
        <v>32</v>
      </c>
      <c r="E98" s="48" t="s">
        <v>56</v>
      </c>
      <c r="F98" s="3"/>
      <c r="I98" s="48" t="s">
        <v>61</v>
      </c>
      <c r="J98" s="3"/>
    </row>
    <row r="100" spans="1:11" x14ac:dyDescent="0.3">
      <c r="A100" s="34" t="s">
        <v>33</v>
      </c>
      <c r="B100" s="1"/>
      <c r="E100" s="34" t="s">
        <v>33</v>
      </c>
      <c r="F100" s="1"/>
      <c r="I100" s="34" t="s">
        <v>33</v>
      </c>
      <c r="J100" s="1"/>
    </row>
    <row r="101" spans="1:11" x14ac:dyDescent="0.3">
      <c r="A101" t="s">
        <v>34</v>
      </c>
      <c r="B101" s="2">
        <v>60000</v>
      </c>
      <c r="E101" t="s">
        <v>82</v>
      </c>
      <c r="F101" s="2">
        <f>(((40000/52)*37))</f>
        <v>28461.538461538465</v>
      </c>
      <c r="I101" t="s">
        <v>34</v>
      </c>
      <c r="J101" s="2">
        <v>60000</v>
      </c>
    </row>
    <row r="102" spans="1:11" x14ac:dyDescent="0.3">
      <c r="A102" t="s">
        <v>35</v>
      </c>
      <c r="B102" s="2">
        <v>45000</v>
      </c>
      <c r="E102" t="s">
        <v>77</v>
      </c>
      <c r="F102" s="2">
        <f>(((45000/52)*17)+((24750/52)*35))</f>
        <v>31370.192307692309</v>
      </c>
      <c r="I102" t="s">
        <v>35</v>
      </c>
      <c r="J102" s="2">
        <v>45000</v>
      </c>
    </row>
    <row r="103" spans="1:11" x14ac:dyDescent="0.3">
      <c r="A103" t="s">
        <v>65</v>
      </c>
      <c r="B103" s="1">
        <v>0</v>
      </c>
      <c r="E103" t="s">
        <v>60</v>
      </c>
      <c r="F103" s="1">
        <f>160*12</f>
        <v>1920</v>
      </c>
      <c r="I103" t="s">
        <v>60</v>
      </c>
      <c r="J103" s="2">
        <f>160*12</f>
        <v>1920</v>
      </c>
    </row>
    <row r="104" spans="1:11" x14ac:dyDescent="0.3">
      <c r="B104" s="1"/>
      <c r="F104" s="1"/>
      <c r="J104" s="1"/>
    </row>
    <row r="105" spans="1:11" x14ac:dyDescent="0.3">
      <c r="A105" s="34" t="s">
        <v>38</v>
      </c>
      <c r="B105" s="1"/>
      <c r="E105" s="34" t="s">
        <v>38</v>
      </c>
      <c r="F105" s="34"/>
      <c r="G105" s="1"/>
      <c r="I105" s="34" t="s">
        <v>38</v>
      </c>
      <c r="J105" s="1"/>
    </row>
    <row r="106" spans="1:11" x14ac:dyDescent="0.3">
      <c r="A106" s="35" t="s">
        <v>39</v>
      </c>
      <c r="B106" s="2">
        <v>0</v>
      </c>
      <c r="C106" s="40" t="s">
        <v>79</v>
      </c>
      <c r="E106" s="35" t="s">
        <v>39</v>
      </c>
      <c r="F106" s="2">
        <v>0</v>
      </c>
      <c r="G106" s="40" t="s">
        <v>79</v>
      </c>
      <c r="I106" s="35" t="s">
        <v>39</v>
      </c>
      <c r="J106" s="2">
        <v>0</v>
      </c>
      <c r="K106" s="40" t="s">
        <v>79</v>
      </c>
    </row>
    <row r="107" spans="1:11" x14ac:dyDescent="0.3">
      <c r="A107" s="35" t="s">
        <v>40</v>
      </c>
      <c r="B107" s="2">
        <f>IF(B102*C107&gt;955.04, 955.04, B102*C107)</f>
        <v>846</v>
      </c>
      <c r="C107" s="40">
        <f>955.04/50800</f>
        <v>1.8800000000000001E-2</v>
      </c>
      <c r="E107" s="35" t="s">
        <v>40</v>
      </c>
      <c r="F107" s="2">
        <f>((45000/52)*17)*G107</f>
        <v>276.57692307692309</v>
      </c>
      <c r="G107" s="40">
        <f>955.04/50800</f>
        <v>1.8800000000000001E-2</v>
      </c>
      <c r="I107" s="35" t="s">
        <v>40</v>
      </c>
      <c r="J107" s="2">
        <f>IF(J102*K107&gt;955.04, 955.04, J102*K107)</f>
        <v>846</v>
      </c>
      <c r="K107" s="40">
        <f>955.04/50800</f>
        <v>1.8800000000000001E-2</v>
      </c>
    </row>
    <row r="108" spans="1:11" x14ac:dyDescent="0.3">
      <c r="A108" s="35" t="s">
        <v>41</v>
      </c>
      <c r="B108" s="2">
        <f>I7</f>
        <v>2544.3000000000002</v>
      </c>
      <c r="C108" s="41" t="s">
        <v>47</v>
      </c>
      <c r="E108" s="35" t="s">
        <v>41</v>
      </c>
      <c r="F108" s="2">
        <f>I10</f>
        <v>1235.596153846154</v>
      </c>
      <c r="G108" s="41" t="s">
        <v>74</v>
      </c>
      <c r="I108" s="35" t="s">
        <v>41</v>
      </c>
      <c r="J108" s="2">
        <f>I7</f>
        <v>2544.3000000000002</v>
      </c>
      <c r="K108" s="41" t="s">
        <v>47</v>
      </c>
    </row>
    <row r="109" spans="1:11" x14ac:dyDescent="0.3">
      <c r="A109" s="35" t="s">
        <v>42</v>
      </c>
      <c r="B109" s="2">
        <f>I8</f>
        <v>2054.25</v>
      </c>
      <c r="C109" s="41" t="s">
        <v>47</v>
      </c>
      <c r="E109" s="35" t="s">
        <v>42</v>
      </c>
      <c r="F109" s="2">
        <f>I11</f>
        <v>554.97115384615381</v>
      </c>
      <c r="G109" s="41" t="s">
        <v>47</v>
      </c>
      <c r="I109" s="35" t="s">
        <v>42</v>
      </c>
      <c r="J109" s="2">
        <f>I8</f>
        <v>2054.25</v>
      </c>
      <c r="K109" s="41" t="s">
        <v>47</v>
      </c>
    </row>
    <row r="110" spans="1:11" x14ac:dyDescent="0.3">
      <c r="A110" s="35" t="s">
        <v>48</v>
      </c>
      <c r="B110" s="2">
        <v>11370</v>
      </c>
      <c r="C110" s="42">
        <f>B110/B101</f>
        <v>0.1895</v>
      </c>
      <c r="E110" s="35" t="s">
        <v>48</v>
      </c>
      <c r="F110" s="2">
        <v>3480</v>
      </c>
      <c r="G110" s="42">
        <f>F110/F101</f>
        <v>0.12227027027027025</v>
      </c>
      <c r="I110" s="35" t="s">
        <v>48</v>
      </c>
      <c r="J110" s="2">
        <v>11370</v>
      </c>
      <c r="K110" s="42">
        <f>J110/J101</f>
        <v>0.1895</v>
      </c>
    </row>
    <row r="111" spans="1:11" x14ac:dyDescent="0.3">
      <c r="A111" t="s">
        <v>49</v>
      </c>
      <c r="B111" s="2">
        <v>6937</v>
      </c>
      <c r="C111" s="42">
        <f>B111/B102</f>
        <v>0.15415555555555555</v>
      </c>
      <c r="E111" t="s">
        <v>49</v>
      </c>
      <c r="F111" s="2">
        <v>4063</v>
      </c>
      <c r="G111" s="42">
        <f>F111/F102</f>
        <v>0.12951785440613026</v>
      </c>
      <c r="I111" t="s">
        <v>72</v>
      </c>
      <c r="J111" s="2">
        <v>4630</v>
      </c>
      <c r="K111" s="42">
        <f>J111/J102</f>
        <v>0.10288888888888889</v>
      </c>
    </row>
    <row r="112" spans="1:11" x14ac:dyDescent="0.3">
      <c r="B112" s="1"/>
      <c r="C112" s="41"/>
      <c r="F112" s="1"/>
      <c r="G112" s="41"/>
      <c r="J112" s="1"/>
      <c r="K112" s="41"/>
    </row>
    <row r="113" spans="1:10" x14ac:dyDescent="0.3">
      <c r="A113" s="34" t="s">
        <v>37</v>
      </c>
      <c r="B113" s="1"/>
      <c r="E113" s="34" t="s">
        <v>37</v>
      </c>
      <c r="F113" s="1"/>
      <c r="I113" s="34" t="s">
        <v>37</v>
      </c>
      <c r="J113" s="1"/>
    </row>
    <row r="114" spans="1:10" x14ac:dyDescent="0.3">
      <c r="A114" t="s">
        <v>34</v>
      </c>
      <c r="B114" s="2">
        <f>B101-B110-B108-B106</f>
        <v>46085.7</v>
      </c>
      <c r="E114" t="s">
        <v>34</v>
      </c>
      <c r="F114" s="2">
        <f>F101-F110-F108-F106</f>
        <v>23745.942307692312</v>
      </c>
      <c r="I114" t="s">
        <v>34</v>
      </c>
      <c r="J114" s="2">
        <f>J101-J110-J108-J106</f>
        <v>46085.7</v>
      </c>
    </row>
    <row r="115" spans="1:10" x14ac:dyDescent="0.3">
      <c r="A115" t="s">
        <v>35</v>
      </c>
      <c r="B115" s="22">
        <f>B102-B111-B109-B107</f>
        <v>35162.75</v>
      </c>
      <c r="E115" t="s">
        <v>35</v>
      </c>
      <c r="F115" s="22">
        <f>F102-F111-F109-F107</f>
        <v>26475.644230769234</v>
      </c>
      <c r="I115" t="s">
        <v>35</v>
      </c>
      <c r="J115" s="22">
        <f>J102-J111-J109-J107</f>
        <v>37469.75</v>
      </c>
    </row>
    <row r="116" spans="1:10" x14ac:dyDescent="0.3">
      <c r="A116" t="s">
        <v>60</v>
      </c>
      <c r="B116" s="29">
        <f>B103</f>
        <v>0</v>
      </c>
      <c r="E116" t="s">
        <v>60</v>
      </c>
      <c r="F116" s="29">
        <f>F103</f>
        <v>1920</v>
      </c>
      <c r="I116" t="s">
        <v>60</v>
      </c>
      <c r="J116" s="29">
        <f>J103</f>
        <v>1920</v>
      </c>
    </row>
    <row r="117" spans="1:10" x14ac:dyDescent="0.3">
      <c r="B117" s="2">
        <f>B114+B115+B116</f>
        <v>81248.45</v>
      </c>
      <c r="F117" s="2">
        <f>F114+F115+F116</f>
        <v>52141.586538461546</v>
      </c>
      <c r="J117" s="2">
        <f>J114+J115+J116</f>
        <v>85475.45</v>
      </c>
    </row>
    <row r="118" spans="1:10" x14ac:dyDescent="0.3">
      <c r="B118" s="1"/>
      <c r="F118" s="1"/>
      <c r="J118" s="1"/>
    </row>
    <row r="119" spans="1:10" x14ac:dyDescent="0.3">
      <c r="A119" s="34" t="s">
        <v>36</v>
      </c>
      <c r="B119" s="1"/>
      <c r="E119" s="34" t="s">
        <v>36</v>
      </c>
      <c r="F119" s="1"/>
      <c r="I119" s="34" t="s">
        <v>36</v>
      </c>
      <c r="J119" s="1"/>
    </row>
    <row r="120" spans="1:10" x14ac:dyDescent="0.3">
      <c r="A120" t="s">
        <v>73</v>
      </c>
      <c r="B120" s="1">
        <f>5500*12</f>
        <v>66000</v>
      </c>
      <c r="E120" t="s">
        <v>73</v>
      </c>
      <c r="F120" s="1">
        <f>5500*12</f>
        <v>66000</v>
      </c>
      <c r="I120" t="s">
        <v>73</v>
      </c>
      <c r="J120" s="1">
        <f>5500*12</f>
        <v>66000</v>
      </c>
    </row>
    <row r="121" spans="1:10" x14ac:dyDescent="0.3">
      <c r="A121" t="s">
        <v>64</v>
      </c>
      <c r="B121">
        <v>0</v>
      </c>
      <c r="E121" t="s">
        <v>64</v>
      </c>
      <c r="F121" s="1"/>
      <c r="I121" t="s">
        <v>63</v>
      </c>
      <c r="J121" s="1">
        <f>900*12</f>
        <v>10800</v>
      </c>
    </row>
    <row r="122" spans="1:10" x14ac:dyDescent="0.3">
      <c r="A122" t="s">
        <v>53</v>
      </c>
      <c r="B122" s="1">
        <f>300*12</f>
        <v>3600</v>
      </c>
      <c r="E122" s="55" t="s">
        <v>51</v>
      </c>
      <c r="F122" s="1">
        <f>200*12</f>
        <v>2400</v>
      </c>
      <c r="I122" s="55" t="s">
        <v>51</v>
      </c>
      <c r="J122" s="1">
        <f>200*12</f>
        <v>2400</v>
      </c>
    </row>
    <row r="123" spans="1:10" x14ac:dyDescent="0.3">
      <c r="A123" t="s">
        <v>50</v>
      </c>
      <c r="B123" s="11">
        <f>500*12</f>
        <v>6000</v>
      </c>
      <c r="E123" s="55" t="s">
        <v>57</v>
      </c>
      <c r="F123" s="11">
        <v>0</v>
      </c>
      <c r="I123" s="55" t="s">
        <v>62</v>
      </c>
      <c r="J123" s="11">
        <f>400*12</f>
        <v>4800</v>
      </c>
    </row>
    <row r="124" spans="1:10" x14ac:dyDescent="0.3">
      <c r="B124" s="10">
        <f>SUM(B120:B123)</f>
        <v>75600</v>
      </c>
      <c r="F124" s="10">
        <f>SUM(F120:F123)</f>
        <v>68400</v>
      </c>
      <c r="J124" s="10">
        <f>SUM(J120:J123)</f>
        <v>84000</v>
      </c>
    </row>
    <row r="126" spans="1:10" x14ac:dyDescent="0.3">
      <c r="A126" s="77" t="s">
        <v>52</v>
      </c>
      <c r="B126" s="78">
        <f>B117-B124</f>
        <v>5648.4499999999971</v>
      </c>
      <c r="C126" s="77"/>
      <c r="D126" s="77"/>
      <c r="E126" s="77" t="s">
        <v>52</v>
      </c>
      <c r="F126" s="78">
        <f>F117-F124</f>
        <v>-16258.413461538454</v>
      </c>
      <c r="G126" s="77"/>
      <c r="H126" s="77"/>
      <c r="I126" s="77" t="s">
        <v>91</v>
      </c>
      <c r="J126" s="78">
        <f>J117-J124</f>
        <v>1475.4499999999971</v>
      </c>
    </row>
    <row r="128" spans="1:10" x14ac:dyDescent="0.3">
      <c r="E128" t="s">
        <v>83</v>
      </c>
      <c r="F128" s="43">
        <f>B126</f>
        <v>5648.4499999999971</v>
      </c>
      <c r="I128" s="58" t="s">
        <v>88</v>
      </c>
    </row>
    <row r="129" spans="1:6" x14ac:dyDescent="0.3">
      <c r="E129" t="s">
        <v>84</v>
      </c>
      <c r="F129" s="3">
        <v>1.5</v>
      </c>
    </row>
    <row r="130" spans="1:6" x14ac:dyDescent="0.3">
      <c r="E130" t="s">
        <v>85</v>
      </c>
      <c r="F130" s="75">
        <f>F128*F129</f>
        <v>8472.6749999999956</v>
      </c>
    </row>
    <row r="131" spans="1:6" x14ac:dyDescent="0.3">
      <c r="E131" s="8" t="s">
        <v>86</v>
      </c>
      <c r="F131" s="76">
        <f>F126+F130</f>
        <v>-7785.7384615384581</v>
      </c>
    </row>
    <row r="133" spans="1:6" x14ac:dyDescent="0.3">
      <c r="E133" s="58" t="s">
        <v>87</v>
      </c>
    </row>
    <row r="139" spans="1:6" ht="15.6" x14ac:dyDescent="0.3">
      <c r="A139" s="87" t="s">
        <v>96</v>
      </c>
    </row>
    <row r="140" spans="1:6" ht="15.6" x14ac:dyDescent="0.3">
      <c r="A140" s="87" t="s">
        <v>95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6"/>
  <sheetViews>
    <sheetView topLeftCell="A16" workbookViewId="0">
      <selection activeCell="A55" sqref="A55:A56"/>
    </sheetView>
  </sheetViews>
  <sheetFormatPr defaultColWidth="8.77734375" defaultRowHeight="14.4" x14ac:dyDescent="0.3"/>
  <cols>
    <col min="1" max="1" width="28" customWidth="1"/>
    <col min="2" max="2" width="9" bestFit="1" customWidth="1"/>
    <col min="3" max="3" width="11.33203125" customWidth="1"/>
    <col min="4" max="4" width="13.6640625" customWidth="1"/>
    <col min="5" max="5" width="15.44140625" bestFit="1" customWidth="1"/>
    <col min="6" max="6" width="8" bestFit="1" customWidth="1"/>
    <col min="7" max="7" width="9" bestFit="1" customWidth="1"/>
    <col min="8" max="21" width="8" bestFit="1" customWidth="1"/>
    <col min="22" max="34" width="9" bestFit="1" customWidth="1"/>
    <col min="35" max="41" width="11.6640625" bestFit="1" customWidth="1"/>
  </cols>
  <sheetData>
    <row r="1" spans="1:15" x14ac:dyDescent="0.3">
      <c r="A1" s="4" t="s">
        <v>0</v>
      </c>
    </row>
    <row r="2" spans="1:15" x14ac:dyDescent="0.3">
      <c r="A2" s="31" t="s">
        <v>13</v>
      </c>
      <c r="G2" s="4"/>
    </row>
    <row r="3" spans="1:15" x14ac:dyDescent="0.3">
      <c r="A3" s="16" t="s">
        <v>1</v>
      </c>
      <c r="B3" s="17"/>
      <c r="C3" s="17"/>
      <c r="D3" s="18">
        <v>50800</v>
      </c>
      <c r="E3" s="19"/>
      <c r="G3" s="4"/>
    </row>
    <row r="4" spans="1:15" x14ac:dyDescent="0.3">
      <c r="A4" s="20"/>
      <c r="B4" s="21"/>
      <c r="C4" s="21"/>
      <c r="D4" s="22"/>
      <c r="E4" s="23"/>
      <c r="G4" s="4"/>
    </row>
    <row r="5" spans="1:15" x14ac:dyDescent="0.3">
      <c r="A5" s="24" t="s">
        <v>8</v>
      </c>
      <c r="B5" s="21"/>
      <c r="C5" s="21"/>
      <c r="D5" s="25">
        <v>537</v>
      </c>
      <c r="E5" s="23" t="s">
        <v>12</v>
      </c>
      <c r="G5" s="4"/>
    </row>
    <row r="6" spans="1:15" x14ac:dyDescent="0.3">
      <c r="A6" s="20" t="s">
        <v>10</v>
      </c>
      <c r="B6" s="21">
        <v>15</v>
      </c>
      <c r="C6" s="21"/>
      <c r="D6" s="21"/>
      <c r="E6" s="23"/>
      <c r="G6" s="4"/>
    </row>
    <row r="7" spans="1:15" x14ac:dyDescent="0.3">
      <c r="A7" s="20" t="s">
        <v>11</v>
      </c>
      <c r="B7" s="3">
        <v>35</v>
      </c>
      <c r="C7" s="21"/>
      <c r="D7" s="21"/>
      <c r="E7" s="23"/>
      <c r="G7" s="4"/>
    </row>
    <row r="8" spans="1:15" x14ac:dyDescent="0.3">
      <c r="A8" s="20" t="s">
        <v>9</v>
      </c>
      <c r="B8" s="21">
        <f>B6+B7</f>
        <v>50</v>
      </c>
      <c r="C8" s="21"/>
      <c r="D8" s="26">
        <f>D5*B8</f>
        <v>26850</v>
      </c>
      <c r="E8" s="23"/>
      <c r="G8" s="32"/>
    </row>
    <row r="9" spans="1:15" x14ac:dyDescent="0.3">
      <c r="A9" s="20"/>
      <c r="B9" s="21"/>
      <c r="C9" s="21"/>
      <c r="D9" s="21"/>
      <c r="E9" s="23"/>
      <c r="G9" s="32"/>
      <c r="M9" s="8"/>
    </row>
    <row r="10" spans="1:15" x14ac:dyDescent="0.3">
      <c r="A10" s="24" t="s">
        <v>2</v>
      </c>
      <c r="B10" s="21"/>
      <c r="C10" s="21"/>
      <c r="D10" s="22">
        <v>955.04</v>
      </c>
      <c r="E10" s="23" t="s">
        <v>3</v>
      </c>
    </row>
    <row r="11" spans="1:15" x14ac:dyDescent="0.3">
      <c r="A11" s="20" t="s">
        <v>4</v>
      </c>
      <c r="B11" s="21">
        <v>33</v>
      </c>
      <c r="C11" s="21"/>
      <c r="D11" s="27"/>
      <c r="E11" s="23"/>
      <c r="G11" s="4"/>
    </row>
    <row r="12" spans="1:15" x14ac:dyDescent="0.3">
      <c r="A12" s="20" t="s">
        <v>5</v>
      </c>
      <c r="B12" s="21">
        <v>65</v>
      </c>
      <c r="C12" s="21"/>
      <c r="D12" s="22"/>
      <c r="E12" s="23"/>
    </row>
    <row r="13" spans="1:15" x14ac:dyDescent="0.3">
      <c r="A13" s="28" t="s">
        <v>6</v>
      </c>
      <c r="B13" s="3">
        <f>B12-B11</f>
        <v>32</v>
      </c>
      <c r="C13" s="3"/>
      <c r="D13" s="11">
        <f>D10*B13</f>
        <v>30561.279999999999</v>
      </c>
      <c r="E13" s="30" t="s">
        <v>7</v>
      </c>
    </row>
    <row r="14" spans="1:15" x14ac:dyDescent="0.3">
      <c r="D14" s="2"/>
      <c r="O14" s="33"/>
    </row>
    <row r="16" spans="1:15" x14ac:dyDescent="0.3">
      <c r="A16" s="14" t="s">
        <v>93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8" spans="1:35" x14ac:dyDescent="0.3">
      <c r="B18" s="5" t="s">
        <v>31</v>
      </c>
      <c r="C18" s="5">
        <v>34</v>
      </c>
      <c r="D18" s="5">
        <v>35</v>
      </c>
      <c r="E18" s="5">
        <v>36</v>
      </c>
      <c r="F18" s="5">
        <f>E18+1</f>
        <v>37</v>
      </c>
      <c r="G18" s="5">
        <f t="shared" ref="G18:AH18" si="0">F18+1</f>
        <v>38</v>
      </c>
      <c r="H18" s="5">
        <f t="shared" si="0"/>
        <v>39</v>
      </c>
      <c r="I18" s="5">
        <f t="shared" si="0"/>
        <v>40</v>
      </c>
      <c r="J18" s="5">
        <f t="shared" si="0"/>
        <v>41</v>
      </c>
      <c r="K18" s="5">
        <f t="shared" si="0"/>
        <v>42</v>
      </c>
      <c r="L18" s="5">
        <f t="shared" si="0"/>
        <v>43</v>
      </c>
      <c r="M18" s="5">
        <f t="shared" si="0"/>
        <v>44</v>
      </c>
      <c r="N18" s="5">
        <f t="shared" si="0"/>
        <v>45</v>
      </c>
      <c r="O18" s="5">
        <f t="shared" si="0"/>
        <v>46</v>
      </c>
      <c r="P18" s="5">
        <f t="shared" si="0"/>
        <v>47</v>
      </c>
      <c r="Q18" s="5">
        <f t="shared" si="0"/>
        <v>48</v>
      </c>
      <c r="R18" s="5">
        <f t="shared" si="0"/>
        <v>49</v>
      </c>
      <c r="S18" s="5">
        <f t="shared" si="0"/>
        <v>50</v>
      </c>
      <c r="T18" s="5">
        <f t="shared" si="0"/>
        <v>51</v>
      </c>
      <c r="U18" s="5">
        <f t="shared" si="0"/>
        <v>52</v>
      </c>
      <c r="V18" s="5">
        <f t="shared" si="0"/>
        <v>53</v>
      </c>
      <c r="W18" s="5">
        <f t="shared" si="0"/>
        <v>54</v>
      </c>
      <c r="X18" s="5">
        <f t="shared" si="0"/>
        <v>55</v>
      </c>
      <c r="Y18" s="5">
        <f t="shared" si="0"/>
        <v>56</v>
      </c>
      <c r="Z18" s="5">
        <f t="shared" si="0"/>
        <v>57</v>
      </c>
      <c r="AA18" s="5">
        <f t="shared" si="0"/>
        <v>58</v>
      </c>
      <c r="AB18" s="5">
        <f t="shared" si="0"/>
        <v>59</v>
      </c>
      <c r="AC18" s="5">
        <f t="shared" si="0"/>
        <v>60</v>
      </c>
      <c r="AD18" s="5">
        <f t="shared" si="0"/>
        <v>61</v>
      </c>
      <c r="AE18" s="5">
        <f t="shared" si="0"/>
        <v>62</v>
      </c>
      <c r="AF18" s="5">
        <f t="shared" si="0"/>
        <v>63</v>
      </c>
      <c r="AG18" s="5">
        <f t="shared" si="0"/>
        <v>64</v>
      </c>
      <c r="AH18" s="5">
        <f t="shared" si="0"/>
        <v>65</v>
      </c>
    </row>
    <row r="19" spans="1:35" x14ac:dyDescent="0.3">
      <c r="A19" t="s">
        <v>17</v>
      </c>
      <c r="B19" s="1">
        <v>30000</v>
      </c>
      <c r="C19" s="1">
        <f>B23</f>
        <v>32193.241600000001</v>
      </c>
      <c r="D19" s="1">
        <f>C23+C24</f>
        <v>34474.212864000001</v>
      </c>
      <c r="E19" s="1">
        <f t="shared" ref="E19:AH19" si="1">D23</f>
        <v>36846.422978560004</v>
      </c>
      <c r="F19" s="1">
        <f t="shared" si="1"/>
        <v>39313.521497702408</v>
      </c>
      <c r="G19" s="1">
        <f t="shared" si="1"/>
        <v>41879.303957610507</v>
      </c>
      <c r="H19" s="1">
        <f t="shared" si="1"/>
        <v>44547.717715914929</v>
      </c>
      <c r="I19" s="1">
        <f t="shared" si="1"/>
        <v>47322.868024551528</v>
      </c>
      <c r="J19" s="1">
        <f t="shared" si="1"/>
        <v>50209.024345533595</v>
      </c>
      <c r="K19" s="1">
        <f t="shared" si="1"/>
        <v>53210.626919354938</v>
      </c>
      <c r="L19" s="1">
        <f t="shared" si="1"/>
        <v>56332.293596129137</v>
      </c>
      <c r="M19" s="1">
        <f t="shared" si="1"/>
        <v>59578.826939974308</v>
      </c>
      <c r="N19" s="1">
        <f t="shared" si="1"/>
        <v>62955.221617573283</v>
      </c>
      <c r="O19" s="1">
        <f t="shared" si="1"/>
        <v>66466.672082276214</v>
      </c>
      <c r="P19" s="1">
        <f t="shared" si="1"/>
        <v>70118.580565567259</v>
      </c>
      <c r="Q19" s="1">
        <f t="shared" si="1"/>
        <v>73916.565388189949</v>
      </c>
      <c r="R19" s="1">
        <f t="shared" si="1"/>
        <v>77866.469603717545</v>
      </c>
      <c r="S19" s="1">
        <f t="shared" si="1"/>
        <v>81974.369987866245</v>
      </c>
      <c r="T19" s="1">
        <f t="shared" si="1"/>
        <v>86246.586387380885</v>
      </c>
      <c r="U19" s="1">
        <f t="shared" si="1"/>
        <v>90689.691442876123</v>
      </c>
      <c r="V19" s="1">
        <f t="shared" si="1"/>
        <v>95310.520700591165</v>
      </c>
      <c r="W19" s="1">
        <f t="shared" si="1"/>
        <v>100116.18312861481</v>
      </c>
      <c r="X19" s="1">
        <f t="shared" si="1"/>
        <v>105114.0720537594</v>
      </c>
      <c r="Y19" s="1">
        <f t="shared" si="1"/>
        <v>110311.87653590977</v>
      </c>
      <c r="Z19" s="1">
        <f t="shared" si="1"/>
        <v>115717.59319734616</v>
      </c>
      <c r="AA19" s="1">
        <f t="shared" si="1"/>
        <v>121339.53852524</v>
      </c>
      <c r="AB19" s="1">
        <f t="shared" si="1"/>
        <v>127186.36166624959</v>
      </c>
      <c r="AC19" s="1">
        <f t="shared" si="1"/>
        <v>133267.05773289959</v>
      </c>
      <c r="AD19" s="1">
        <f t="shared" si="1"/>
        <v>139590.98164221557</v>
      </c>
      <c r="AE19" s="1">
        <f t="shared" si="1"/>
        <v>146167.86250790421</v>
      </c>
      <c r="AF19" s="1">
        <f t="shared" si="1"/>
        <v>153007.8186082204</v>
      </c>
      <c r="AG19" s="1">
        <f t="shared" si="1"/>
        <v>160121.37295254922</v>
      </c>
      <c r="AH19" s="1">
        <f t="shared" si="1"/>
        <v>167519.46947065121</v>
      </c>
    </row>
    <row r="20" spans="1:35" x14ac:dyDescent="0.3">
      <c r="A20" t="s">
        <v>15</v>
      </c>
      <c r="B20" s="1">
        <v>955.04</v>
      </c>
      <c r="C20" s="1">
        <v>955.04</v>
      </c>
      <c r="D20" s="1">
        <v>955.04</v>
      </c>
      <c r="E20" s="1">
        <v>955.04</v>
      </c>
      <c r="F20" s="1">
        <v>955.04</v>
      </c>
      <c r="G20" s="1">
        <v>955.04</v>
      </c>
      <c r="H20" s="1">
        <v>955.04</v>
      </c>
      <c r="I20" s="1">
        <v>955.04</v>
      </c>
      <c r="J20" s="1">
        <v>955.04</v>
      </c>
      <c r="K20" s="1">
        <v>955.04</v>
      </c>
      <c r="L20" s="1">
        <v>955.04</v>
      </c>
      <c r="M20" s="1">
        <v>955.04</v>
      </c>
      <c r="N20" s="1">
        <v>955.04</v>
      </c>
      <c r="O20" s="1">
        <v>955.04</v>
      </c>
      <c r="P20" s="1">
        <v>955.04</v>
      </c>
      <c r="Q20" s="1">
        <v>955.04</v>
      </c>
      <c r="R20" s="1">
        <v>955.04</v>
      </c>
      <c r="S20" s="1">
        <v>955.04</v>
      </c>
      <c r="T20" s="1">
        <v>955.04</v>
      </c>
      <c r="U20" s="1">
        <v>955.04</v>
      </c>
      <c r="V20" s="1">
        <v>955.04</v>
      </c>
      <c r="W20" s="1">
        <v>955.04</v>
      </c>
      <c r="X20" s="1">
        <v>955.04</v>
      </c>
      <c r="Y20" s="1">
        <v>955.04</v>
      </c>
      <c r="Z20" s="1">
        <v>955.04</v>
      </c>
      <c r="AA20" s="1">
        <v>955.04</v>
      </c>
      <c r="AB20" s="1">
        <v>955.04</v>
      </c>
      <c r="AC20" s="1">
        <v>955.04</v>
      </c>
      <c r="AD20" s="1">
        <v>955.04</v>
      </c>
      <c r="AE20" s="1">
        <v>955.04</v>
      </c>
      <c r="AF20" s="1">
        <v>955.04</v>
      </c>
      <c r="AG20" s="1">
        <v>955.04</v>
      </c>
      <c r="AH20" s="1">
        <v>955.04</v>
      </c>
    </row>
    <row r="21" spans="1:35" x14ac:dyDescent="0.3">
      <c r="A21" t="s">
        <v>16</v>
      </c>
      <c r="B21" s="1">
        <f>B19+B20</f>
        <v>30955.040000000001</v>
      </c>
      <c r="C21" s="1">
        <f t="shared" ref="C21:AH21" si="2">C19+C20</f>
        <v>33148.281600000002</v>
      </c>
      <c r="D21" s="1">
        <f t="shared" si="2"/>
        <v>35429.252864000002</v>
      </c>
      <c r="E21" s="1">
        <f t="shared" si="2"/>
        <v>37801.462978560005</v>
      </c>
      <c r="F21" s="1">
        <f t="shared" si="2"/>
        <v>40268.561497702409</v>
      </c>
      <c r="G21" s="1">
        <f t="shared" si="2"/>
        <v>42834.343957610508</v>
      </c>
      <c r="H21" s="1">
        <f t="shared" si="2"/>
        <v>45502.75771591493</v>
      </c>
      <c r="I21" s="1">
        <f t="shared" si="2"/>
        <v>48277.908024551529</v>
      </c>
      <c r="J21" s="1">
        <f t="shared" si="2"/>
        <v>51164.064345533596</v>
      </c>
      <c r="K21" s="1">
        <f t="shared" si="2"/>
        <v>54165.666919354939</v>
      </c>
      <c r="L21" s="1">
        <f t="shared" si="2"/>
        <v>57287.333596129138</v>
      </c>
      <c r="M21" s="1">
        <f t="shared" si="2"/>
        <v>60533.866939974308</v>
      </c>
      <c r="N21" s="1">
        <f t="shared" si="2"/>
        <v>63910.261617573284</v>
      </c>
      <c r="O21" s="1">
        <f t="shared" si="2"/>
        <v>67421.712082276208</v>
      </c>
      <c r="P21" s="1">
        <f t="shared" si="2"/>
        <v>71073.620565567253</v>
      </c>
      <c r="Q21" s="1">
        <f t="shared" si="2"/>
        <v>74871.605388189942</v>
      </c>
      <c r="R21" s="1">
        <f t="shared" si="2"/>
        <v>78821.509603717539</v>
      </c>
      <c r="S21" s="1">
        <f t="shared" si="2"/>
        <v>82929.409987866238</v>
      </c>
      <c r="T21" s="1">
        <f t="shared" si="2"/>
        <v>87201.626387380878</v>
      </c>
      <c r="U21" s="1">
        <f t="shared" si="2"/>
        <v>91644.731442876116</v>
      </c>
      <c r="V21" s="1">
        <f t="shared" si="2"/>
        <v>96265.560700591159</v>
      </c>
      <c r="W21" s="1">
        <f t="shared" si="2"/>
        <v>101071.2231286148</v>
      </c>
      <c r="X21" s="1">
        <f t="shared" si="2"/>
        <v>106069.1120537594</v>
      </c>
      <c r="Y21" s="1">
        <f t="shared" si="2"/>
        <v>111266.91653590977</v>
      </c>
      <c r="Z21" s="1">
        <f t="shared" si="2"/>
        <v>116672.63319734615</v>
      </c>
      <c r="AA21" s="1">
        <f t="shared" si="2"/>
        <v>122294.57852523999</v>
      </c>
      <c r="AB21" s="1">
        <f t="shared" si="2"/>
        <v>128141.40166624959</v>
      </c>
      <c r="AC21" s="1">
        <f t="shared" si="2"/>
        <v>134222.09773289959</v>
      </c>
      <c r="AD21" s="1">
        <f t="shared" si="2"/>
        <v>140546.02164221558</v>
      </c>
      <c r="AE21" s="1">
        <f t="shared" si="2"/>
        <v>147122.90250790422</v>
      </c>
      <c r="AF21" s="1">
        <f t="shared" si="2"/>
        <v>153962.85860822041</v>
      </c>
      <c r="AG21" s="1">
        <f t="shared" si="2"/>
        <v>161076.41295254923</v>
      </c>
      <c r="AH21" s="1">
        <f t="shared" si="2"/>
        <v>168474.50947065122</v>
      </c>
    </row>
    <row r="22" spans="1:35" x14ac:dyDescent="0.3">
      <c r="A22" t="s">
        <v>18</v>
      </c>
      <c r="B22" s="6">
        <v>0.04</v>
      </c>
      <c r="C22" s="6">
        <f>B22</f>
        <v>0.04</v>
      </c>
      <c r="D22" s="6">
        <f t="shared" ref="D22:AH22" si="3">C22</f>
        <v>0.04</v>
      </c>
      <c r="E22" s="6">
        <f t="shared" si="3"/>
        <v>0.04</v>
      </c>
      <c r="F22" s="6">
        <f t="shared" si="3"/>
        <v>0.04</v>
      </c>
      <c r="G22" s="6">
        <f t="shared" si="3"/>
        <v>0.04</v>
      </c>
      <c r="H22" s="6">
        <f t="shared" si="3"/>
        <v>0.04</v>
      </c>
      <c r="I22" s="6">
        <f t="shared" si="3"/>
        <v>0.04</v>
      </c>
      <c r="J22" s="6">
        <f t="shared" si="3"/>
        <v>0.04</v>
      </c>
      <c r="K22" s="6">
        <f t="shared" si="3"/>
        <v>0.04</v>
      </c>
      <c r="L22" s="6">
        <f t="shared" si="3"/>
        <v>0.04</v>
      </c>
      <c r="M22" s="6">
        <f t="shared" si="3"/>
        <v>0.04</v>
      </c>
      <c r="N22" s="6">
        <f t="shared" si="3"/>
        <v>0.04</v>
      </c>
      <c r="O22" s="6">
        <f t="shared" si="3"/>
        <v>0.04</v>
      </c>
      <c r="P22" s="6">
        <f t="shared" si="3"/>
        <v>0.04</v>
      </c>
      <c r="Q22" s="6">
        <f t="shared" si="3"/>
        <v>0.04</v>
      </c>
      <c r="R22" s="6">
        <f t="shared" si="3"/>
        <v>0.04</v>
      </c>
      <c r="S22" s="6">
        <f t="shared" si="3"/>
        <v>0.04</v>
      </c>
      <c r="T22" s="6">
        <f t="shared" si="3"/>
        <v>0.04</v>
      </c>
      <c r="U22" s="6">
        <f t="shared" si="3"/>
        <v>0.04</v>
      </c>
      <c r="V22" s="6">
        <f t="shared" si="3"/>
        <v>0.04</v>
      </c>
      <c r="W22" s="6">
        <f t="shared" si="3"/>
        <v>0.04</v>
      </c>
      <c r="X22" s="6">
        <f t="shared" si="3"/>
        <v>0.04</v>
      </c>
      <c r="Y22" s="6">
        <f t="shared" si="3"/>
        <v>0.04</v>
      </c>
      <c r="Z22" s="6">
        <f t="shared" si="3"/>
        <v>0.04</v>
      </c>
      <c r="AA22" s="6">
        <f t="shared" si="3"/>
        <v>0.04</v>
      </c>
      <c r="AB22" s="6">
        <f t="shared" si="3"/>
        <v>0.04</v>
      </c>
      <c r="AC22" s="6">
        <f t="shared" si="3"/>
        <v>0.04</v>
      </c>
      <c r="AD22" s="6">
        <f t="shared" si="3"/>
        <v>0.04</v>
      </c>
      <c r="AE22" s="6">
        <f t="shared" si="3"/>
        <v>0.04</v>
      </c>
      <c r="AF22" s="6">
        <f t="shared" si="3"/>
        <v>0.04</v>
      </c>
      <c r="AG22" s="6">
        <f t="shared" si="3"/>
        <v>0.04</v>
      </c>
      <c r="AH22" s="6">
        <f t="shared" si="3"/>
        <v>0.04</v>
      </c>
    </row>
    <row r="23" spans="1:35" x14ac:dyDescent="0.3">
      <c r="B23" s="7">
        <f>B21*(1+B22)</f>
        <v>32193.241600000001</v>
      </c>
      <c r="C23" s="7">
        <f t="shared" ref="C23:AH23" si="4">C21*(1+C22)</f>
        <v>34474.212864000001</v>
      </c>
      <c r="D23" s="7">
        <f t="shared" si="4"/>
        <v>36846.422978560004</v>
      </c>
      <c r="E23" s="7">
        <f t="shared" si="4"/>
        <v>39313.521497702408</v>
      </c>
      <c r="F23" s="7">
        <f t="shared" si="4"/>
        <v>41879.303957610507</v>
      </c>
      <c r="G23" s="7">
        <f t="shared" si="4"/>
        <v>44547.717715914929</v>
      </c>
      <c r="H23" s="7">
        <f t="shared" si="4"/>
        <v>47322.868024551528</v>
      </c>
      <c r="I23" s="7">
        <f t="shared" si="4"/>
        <v>50209.024345533595</v>
      </c>
      <c r="J23" s="7">
        <f t="shared" si="4"/>
        <v>53210.626919354938</v>
      </c>
      <c r="K23" s="7">
        <f t="shared" si="4"/>
        <v>56332.293596129137</v>
      </c>
      <c r="L23" s="7">
        <f t="shared" si="4"/>
        <v>59578.826939974308</v>
      </c>
      <c r="M23" s="7">
        <f t="shared" si="4"/>
        <v>62955.221617573283</v>
      </c>
      <c r="N23" s="7">
        <f t="shared" si="4"/>
        <v>66466.672082276214</v>
      </c>
      <c r="O23" s="7">
        <f t="shared" si="4"/>
        <v>70118.580565567259</v>
      </c>
      <c r="P23" s="7">
        <f t="shared" si="4"/>
        <v>73916.565388189949</v>
      </c>
      <c r="Q23" s="7">
        <f t="shared" si="4"/>
        <v>77866.469603717545</v>
      </c>
      <c r="R23" s="7">
        <f t="shared" si="4"/>
        <v>81974.369987866245</v>
      </c>
      <c r="S23" s="7">
        <f t="shared" si="4"/>
        <v>86246.586387380885</v>
      </c>
      <c r="T23" s="7">
        <f t="shared" si="4"/>
        <v>90689.691442876123</v>
      </c>
      <c r="U23" s="7">
        <f t="shared" si="4"/>
        <v>95310.520700591165</v>
      </c>
      <c r="V23" s="7">
        <f t="shared" si="4"/>
        <v>100116.18312861481</v>
      </c>
      <c r="W23" s="7">
        <f t="shared" si="4"/>
        <v>105114.0720537594</v>
      </c>
      <c r="X23" s="7">
        <f t="shared" si="4"/>
        <v>110311.87653590977</v>
      </c>
      <c r="Y23" s="7">
        <f t="shared" si="4"/>
        <v>115717.59319734616</v>
      </c>
      <c r="Z23" s="7">
        <f t="shared" si="4"/>
        <v>121339.53852524</v>
      </c>
      <c r="AA23" s="7">
        <f t="shared" si="4"/>
        <v>127186.36166624959</v>
      </c>
      <c r="AB23" s="7">
        <f t="shared" si="4"/>
        <v>133267.05773289959</v>
      </c>
      <c r="AC23" s="7">
        <f t="shared" si="4"/>
        <v>139590.98164221557</v>
      </c>
      <c r="AD23" s="7">
        <f t="shared" si="4"/>
        <v>146167.86250790421</v>
      </c>
      <c r="AE23" s="7">
        <f t="shared" si="4"/>
        <v>153007.8186082204</v>
      </c>
      <c r="AF23" s="7">
        <f t="shared" si="4"/>
        <v>160121.37295254922</v>
      </c>
      <c r="AG23" s="7">
        <f t="shared" si="4"/>
        <v>167519.46947065121</v>
      </c>
      <c r="AH23" s="7">
        <f t="shared" si="4"/>
        <v>175213.48984947728</v>
      </c>
    </row>
    <row r="24" spans="1:35" x14ac:dyDescent="0.3">
      <c r="A24" s="8"/>
      <c r="B24" s="8"/>
      <c r="C24" s="9"/>
      <c r="AI24" s="10"/>
    </row>
    <row r="25" spans="1:35" x14ac:dyDescent="0.3">
      <c r="AI25" s="85"/>
    </row>
    <row r="26" spans="1:35" x14ac:dyDescent="0.3">
      <c r="B26" s="5" t="s">
        <v>31</v>
      </c>
      <c r="C26" s="5">
        <v>34</v>
      </c>
      <c r="D26" s="5">
        <v>35</v>
      </c>
      <c r="E26" s="5">
        <v>36</v>
      </c>
      <c r="F26" s="5">
        <f>E26+1</f>
        <v>37</v>
      </c>
      <c r="G26" s="5">
        <f t="shared" ref="G26:AH26" si="5">F26+1</f>
        <v>38</v>
      </c>
      <c r="H26" s="5">
        <f t="shared" si="5"/>
        <v>39</v>
      </c>
      <c r="I26" s="5">
        <f t="shared" si="5"/>
        <v>40</v>
      </c>
      <c r="J26" s="5">
        <f t="shared" si="5"/>
        <v>41</v>
      </c>
      <c r="K26" s="5">
        <f t="shared" si="5"/>
        <v>42</v>
      </c>
      <c r="L26" s="5">
        <f t="shared" si="5"/>
        <v>43</v>
      </c>
      <c r="M26" s="5">
        <f t="shared" si="5"/>
        <v>44</v>
      </c>
      <c r="N26" s="5">
        <f t="shared" si="5"/>
        <v>45</v>
      </c>
      <c r="O26" s="5">
        <f t="shared" si="5"/>
        <v>46</v>
      </c>
      <c r="P26" s="5">
        <f t="shared" si="5"/>
        <v>47</v>
      </c>
      <c r="Q26" s="5">
        <f t="shared" si="5"/>
        <v>48</v>
      </c>
      <c r="R26" s="5">
        <f t="shared" si="5"/>
        <v>49</v>
      </c>
      <c r="S26" s="5">
        <f t="shared" si="5"/>
        <v>50</v>
      </c>
      <c r="T26" s="5">
        <f t="shared" si="5"/>
        <v>51</v>
      </c>
      <c r="U26" s="5">
        <f t="shared" si="5"/>
        <v>52</v>
      </c>
      <c r="V26" s="5">
        <f t="shared" si="5"/>
        <v>53</v>
      </c>
      <c r="W26" s="5">
        <f t="shared" si="5"/>
        <v>54</v>
      </c>
      <c r="X26" s="5">
        <f t="shared" si="5"/>
        <v>55</v>
      </c>
      <c r="Y26" s="5">
        <f t="shared" si="5"/>
        <v>56</v>
      </c>
      <c r="Z26" s="5">
        <f t="shared" si="5"/>
        <v>57</v>
      </c>
      <c r="AA26" s="5">
        <f t="shared" si="5"/>
        <v>58</v>
      </c>
      <c r="AB26" s="5">
        <f t="shared" si="5"/>
        <v>59</v>
      </c>
      <c r="AC26" s="5">
        <f t="shared" si="5"/>
        <v>60</v>
      </c>
      <c r="AD26" s="5">
        <f t="shared" si="5"/>
        <v>61</v>
      </c>
      <c r="AE26" s="5">
        <f t="shared" si="5"/>
        <v>62</v>
      </c>
      <c r="AF26" s="5">
        <f t="shared" si="5"/>
        <v>63</v>
      </c>
      <c r="AG26" s="5">
        <f t="shared" si="5"/>
        <v>64</v>
      </c>
      <c r="AH26" s="5">
        <f t="shared" si="5"/>
        <v>65</v>
      </c>
    </row>
    <row r="27" spans="1:35" x14ac:dyDescent="0.3">
      <c r="A27" t="s">
        <v>14</v>
      </c>
      <c r="B27" s="1">
        <v>25000</v>
      </c>
      <c r="C27" s="1">
        <f>B31</f>
        <v>26000</v>
      </c>
      <c r="D27" s="1">
        <f t="shared" ref="D27:AH27" si="6">C31</f>
        <v>27040</v>
      </c>
      <c r="E27" s="1">
        <f t="shared" si="6"/>
        <v>28121.600000000002</v>
      </c>
      <c r="F27" s="1">
        <f t="shared" si="6"/>
        <v>29246.464000000004</v>
      </c>
      <c r="G27" s="1">
        <f t="shared" si="6"/>
        <v>30416.322560000004</v>
      </c>
      <c r="H27" s="1">
        <f t="shared" si="6"/>
        <v>31632.975462400005</v>
      </c>
      <c r="I27" s="1">
        <f t="shared" si="6"/>
        <v>32898.294480896009</v>
      </c>
      <c r="J27" s="1">
        <f t="shared" si="6"/>
        <v>34214.226260131851</v>
      </c>
      <c r="K27" s="1">
        <f t="shared" si="6"/>
        <v>35582.795310537127</v>
      </c>
      <c r="L27" s="1">
        <f t="shared" si="6"/>
        <v>37006.107122958616</v>
      </c>
      <c r="M27" s="1">
        <f t="shared" si="6"/>
        <v>38486.351407876959</v>
      </c>
      <c r="N27" s="1">
        <f t="shared" si="6"/>
        <v>40025.805464192039</v>
      </c>
      <c r="O27" s="1">
        <f t="shared" si="6"/>
        <v>41626.837682759724</v>
      </c>
      <c r="P27" s="1">
        <f t="shared" si="6"/>
        <v>43291.911190070117</v>
      </c>
      <c r="Q27" s="1">
        <f t="shared" si="6"/>
        <v>45023.587637672921</v>
      </c>
      <c r="R27" s="1">
        <f t="shared" si="6"/>
        <v>46824.53114317984</v>
      </c>
      <c r="S27" s="1">
        <f t="shared" si="6"/>
        <v>48697.512388907038</v>
      </c>
      <c r="T27" s="1">
        <f t="shared" si="6"/>
        <v>50645.412884463323</v>
      </c>
      <c r="U27" s="1">
        <f t="shared" si="6"/>
        <v>52671.229399841861</v>
      </c>
      <c r="V27" s="1">
        <f t="shared" si="6"/>
        <v>54778.078575835534</v>
      </c>
      <c r="W27" s="1">
        <f t="shared" si="6"/>
        <v>56969.201718868957</v>
      </c>
      <c r="X27" s="1">
        <f t="shared" si="6"/>
        <v>59247.969787623719</v>
      </c>
      <c r="Y27" s="1">
        <f t="shared" si="6"/>
        <v>61617.888579128667</v>
      </c>
      <c r="Z27" s="1">
        <f t="shared" si="6"/>
        <v>64082.604122293815</v>
      </c>
      <c r="AA27" s="1">
        <f t="shared" si="6"/>
        <v>66645.908287185564</v>
      </c>
      <c r="AB27" s="1">
        <f t="shared" si="6"/>
        <v>69311.744618672994</v>
      </c>
      <c r="AC27" s="1">
        <f t="shared" si="6"/>
        <v>72084.214403419915</v>
      </c>
      <c r="AD27" s="1">
        <f t="shared" si="6"/>
        <v>74967.582979556712</v>
      </c>
      <c r="AE27" s="1">
        <f t="shared" si="6"/>
        <v>77966.286298738982</v>
      </c>
      <c r="AF27" s="1">
        <f t="shared" si="6"/>
        <v>81084.93775068855</v>
      </c>
      <c r="AG27" s="1">
        <f t="shared" si="6"/>
        <v>84328.335260716092</v>
      </c>
      <c r="AH27" s="1">
        <f t="shared" si="6"/>
        <v>87701.468671144743</v>
      </c>
    </row>
    <row r="28" spans="1:35" x14ac:dyDescent="0.3">
      <c r="A28" t="s">
        <v>15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</row>
    <row r="29" spans="1:35" x14ac:dyDescent="0.3">
      <c r="A29" t="s">
        <v>19</v>
      </c>
      <c r="B29" s="1">
        <f>B27+B28</f>
        <v>25000</v>
      </c>
      <c r="C29" s="1">
        <f t="shared" ref="C29" si="7">C27+C28</f>
        <v>26000</v>
      </c>
      <c r="D29" s="1">
        <f t="shared" ref="D29" si="8">D27+D28</f>
        <v>27040</v>
      </c>
      <c r="E29" s="1">
        <f t="shared" ref="E29" si="9">E27+E28</f>
        <v>28121.600000000002</v>
      </c>
      <c r="F29" s="1">
        <f t="shared" ref="F29" si="10">F27+F28</f>
        <v>29246.464000000004</v>
      </c>
      <c r="G29" s="1">
        <f t="shared" ref="G29" si="11">G27+G28</f>
        <v>30416.322560000004</v>
      </c>
      <c r="H29" s="1">
        <f t="shared" ref="H29" si="12">H27+H28</f>
        <v>31632.975462400005</v>
      </c>
      <c r="I29" s="1">
        <f t="shared" ref="I29" si="13">I27+I28</f>
        <v>32898.294480896009</v>
      </c>
      <c r="J29" s="1">
        <f t="shared" ref="J29" si="14">J27+J28</f>
        <v>34214.226260131851</v>
      </c>
      <c r="K29" s="1">
        <f t="shared" ref="K29" si="15">K27+K28</f>
        <v>35582.795310537127</v>
      </c>
      <c r="L29" s="1">
        <f t="shared" ref="L29" si="16">L27+L28</f>
        <v>37006.107122958616</v>
      </c>
      <c r="M29" s="1">
        <f t="shared" ref="M29" si="17">M27+M28</f>
        <v>38486.351407876959</v>
      </c>
      <c r="N29" s="1">
        <f t="shared" ref="N29" si="18">N27+N28</f>
        <v>40025.805464192039</v>
      </c>
      <c r="O29" s="1">
        <f t="shared" ref="O29" si="19">O27+O28</f>
        <v>41626.837682759724</v>
      </c>
      <c r="P29" s="1">
        <f t="shared" ref="P29" si="20">P27+P28</f>
        <v>43291.911190070117</v>
      </c>
      <c r="Q29" s="1">
        <f t="shared" ref="Q29" si="21">Q27+Q28</f>
        <v>45023.587637672921</v>
      </c>
      <c r="R29" s="1">
        <f t="shared" ref="R29" si="22">R27+R28</f>
        <v>46824.53114317984</v>
      </c>
      <c r="S29" s="1">
        <f t="shared" ref="S29" si="23">S27+S28</f>
        <v>48697.512388907038</v>
      </c>
      <c r="T29" s="1">
        <f t="shared" ref="T29" si="24">T27+T28</f>
        <v>50645.412884463323</v>
      </c>
      <c r="U29" s="1">
        <f t="shared" ref="U29" si="25">U27+U28</f>
        <v>52671.229399841861</v>
      </c>
      <c r="V29" s="1">
        <f t="shared" ref="V29" si="26">V27+V28</f>
        <v>54778.078575835534</v>
      </c>
      <c r="W29" s="1">
        <f t="shared" ref="W29" si="27">W27+W28</f>
        <v>56969.201718868957</v>
      </c>
      <c r="X29" s="1">
        <f t="shared" ref="X29" si="28">X27+X28</f>
        <v>59247.969787623719</v>
      </c>
      <c r="Y29" s="1">
        <f t="shared" ref="Y29" si="29">Y27+Y28</f>
        <v>61617.888579128667</v>
      </c>
      <c r="Z29" s="1">
        <f t="shared" ref="Z29" si="30">Z27+Z28</f>
        <v>64082.604122293815</v>
      </c>
      <c r="AA29" s="1">
        <f t="shared" ref="AA29" si="31">AA27+AA28</f>
        <v>66645.908287185564</v>
      </c>
      <c r="AB29" s="1">
        <f t="shared" ref="AB29" si="32">AB27+AB28</f>
        <v>69311.744618672994</v>
      </c>
      <c r="AC29" s="1">
        <f t="shared" ref="AC29" si="33">AC27+AC28</f>
        <v>72084.214403419915</v>
      </c>
      <c r="AD29" s="1">
        <f t="shared" ref="AD29" si="34">AD27+AD28</f>
        <v>74967.582979556712</v>
      </c>
      <c r="AE29" s="1">
        <f t="shared" ref="AE29" si="35">AE27+AE28</f>
        <v>77966.286298738982</v>
      </c>
      <c r="AF29" s="1">
        <f t="shared" ref="AF29" si="36">AF27+AF28</f>
        <v>81084.93775068855</v>
      </c>
      <c r="AG29" s="1">
        <f t="shared" ref="AG29" si="37">AG27+AG28</f>
        <v>84328.335260716092</v>
      </c>
      <c r="AH29" s="1">
        <f t="shared" ref="AH29" si="38">AH27+AH28</f>
        <v>87701.468671144743</v>
      </c>
    </row>
    <row r="30" spans="1:35" x14ac:dyDescent="0.3">
      <c r="A30" t="s">
        <v>18</v>
      </c>
      <c r="B30" s="6">
        <v>0.04</v>
      </c>
      <c r="C30" s="6">
        <f>B30</f>
        <v>0.04</v>
      </c>
      <c r="D30" s="6">
        <f t="shared" ref="D30:AH30" si="39">C30</f>
        <v>0.04</v>
      </c>
      <c r="E30" s="6">
        <f t="shared" si="39"/>
        <v>0.04</v>
      </c>
      <c r="F30" s="6">
        <f t="shared" si="39"/>
        <v>0.04</v>
      </c>
      <c r="G30" s="6">
        <f t="shared" si="39"/>
        <v>0.04</v>
      </c>
      <c r="H30" s="6">
        <f t="shared" si="39"/>
        <v>0.04</v>
      </c>
      <c r="I30" s="6">
        <f t="shared" si="39"/>
        <v>0.04</v>
      </c>
      <c r="J30" s="6">
        <f t="shared" si="39"/>
        <v>0.04</v>
      </c>
      <c r="K30" s="6">
        <f t="shared" si="39"/>
        <v>0.04</v>
      </c>
      <c r="L30" s="6">
        <f t="shared" si="39"/>
        <v>0.04</v>
      </c>
      <c r="M30" s="6">
        <f t="shared" si="39"/>
        <v>0.04</v>
      </c>
      <c r="N30" s="6">
        <f t="shared" si="39"/>
        <v>0.04</v>
      </c>
      <c r="O30" s="6">
        <f t="shared" si="39"/>
        <v>0.04</v>
      </c>
      <c r="P30" s="6">
        <f t="shared" si="39"/>
        <v>0.04</v>
      </c>
      <c r="Q30" s="6">
        <f t="shared" si="39"/>
        <v>0.04</v>
      </c>
      <c r="R30" s="6">
        <f t="shared" si="39"/>
        <v>0.04</v>
      </c>
      <c r="S30" s="6">
        <f t="shared" si="39"/>
        <v>0.04</v>
      </c>
      <c r="T30" s="6">
        <f t="shared" si="39"/>
        <v>0.04</v>
      </c>
      <c r="U30" s="6">
        <f t="shared" si="39"/>
        <v>0.04</v>
      </c>
      <c r="V30" s="6">
        <f t="shared" si="39"/>
        <v>0.04</v>
      </c>
      <c r="W30" s="6">
        <f t="shared" si="39"/>
        <v>0.04</v>
      </c>
      <c r="X30" s="6">
        <f t="shared" si="39"/>
        <v>0.04</v>
      </c>
      <c r="Y30" s="6">
        <f t="shared" si="39"/>
        <v>0.04</v>
      </c>
      <c r="Z30" s="6">
        <f t="shared" si="39"/>
        <v>0.04</v>
      </c>
      <c r="AA30" s="6">
        <f t="shared" si="39"/>
        <v>0.04</v>
      </c>
      <c r="AB30" s="6">
        <f t="shared" si="39"/>
        <v>0.04</v>
      </c>
      <c r="AC30" s="6">
        <f t="shared" si="39"/>
        <v>0.04</v>
      </c>
      <c r="AD30" s="6">
        <f t="shared" si="39"/>
        <v>0.04</v>
      </c>
      <c r="AE30" s="6">
        <f t="shared" si="39"/>
        <v>0.04</v>
      </c>
      <c r="AF30" s="6">
        <f t="shared" si="39"/>
        <v>0.04</v>
      </c>
      <c r="AG30" s="6">
        <f t="shared" si="39"/>
        <v>0.04</v>
      </c>
      <c r="AH30" s="6">
        <f t="shared" si="39"/>
        <v>0.04</v>
      </c>
    </row>
    <row r="31" spans="1:35" x14ac:dyDescent="0.3">
      <c r="B31" s="7">
        <f>B29*(1+B30)</f>
        <v>26000</v>
      </c>
      <c r="C31" s="7">
        <f t="shared" ref="C31" si="40">C29*(1+C30)</f>
        <v>27040</v>
      </c>
      <c r="D31" s="7">
        <f t="shared" ref="D31" si="41">D29*(1+D30)</f>
        <v>28121.600000000002</v>
      </c>
      <c r="E31" s="7">
        <f t="shared" ref="E31" si="42">E29*(1+E30)</f>
        <v>29246.464000000004</v>
      </c>
      <c r="F31" s="7">
        <f t="shared" ref="F31" si="43">F29*(1+F30)</f>
        <v>30416.322560000004</v>
      </c>
      <c r="G31" s="7">
        <f t="shared" ref="G31" si="44">G29*(1+G30)</f>
        <v>31632.975462400005</v>
      </c>
      <c r="H31" s="7">
        <f t="shared" ref="H31" si="45">H29*(1+H30)</f>
        <v>32898.294480896009</v>
      </c>
      <c r="I31" s="7">
        <f t="shared" ref="I31" si="46">I29*(1+I30)</f>
        <v>34214.226260131851</v>
      </c>
      <c r="J31" s="7">
        <f t="shared" ref="J31" si="47">J29*(1+J30)</f>
        <v>35582.795310537127</v>
      </c>
      <c r="K31" s="7">
        <f t="shared" ref="K31" si="48">K29*(1+K30)</f>
        <v>37006.107122958616</v>
      </c>
      <c r="L31" s="7">
        <f t="shared" ref="L31" si="49">L29*(1+L30)</f>
        <v>38486.351407876959</v>
      </c>
      <c r="M31" s="7">
        <f t="shared" ref="M31" si="50">M29*(1+M30)</f>
        <v>40025.805464192039</v>
      </c>
      <c r="N31" s="7">
        <f t="shared" ref="N31" si="51">N29*(1+N30)</f>
        <v>41626.837682759724</v>
      </c>
      <c r="O31" s="7">
        <f t="shared" ref="O31" si="52">O29*(1+O30)</f>
        <v>43291.911190070117</v>
      </c>
      <c r="P31" s="7">
        <f t="shared" ref="P31" si="53">P29*(1+P30)</f>
        <v>45023.587637672921</v>
      </c>
      <c r="Q31" s="7">
        <f t="shared" ref="Q31" si="54">Q29*(1+Q30)</f>
        <v>46824.53114317984</v>
      </c>
      <c r="R31" s="7">
        <f t="shared" ref="R31" si="55">R29*(1+R30)</f>
        <v>48697.512388907038</v>
      </c>
      <c r="S31" s="7">
        <f t="shared" ref="S31" si="56">S29*(1+S30)</f>
        <v>50645.412884463323</v>
      </c>
      <c r="T31" s="7">
        <f t="shared" ref="T31" si="57">T29*(1+T30)</f>
        <v>52671.229399841861</v>
      </c>
      <c r="U31" s="7">
        <f t="shared" ref="U31" si="58">U29*(1+U30)</f>
        <v>54778.078575835534</v>
      </c>
      <c r="V31" s="7">
        <f t="shared" ref="V31" si="59">V29*(1+V30)</f>
        <v>56969.201718868957</v>
      </c>
      <c r="W31" s="7">
        <f t="shared" ref="W31" si="60">W29*(1+W30)</f>
        <v>59247.969787623719</v>
      </c>
      <c r="X31" s="7">
        <f t="shared" ref="X31" si="61">X29*(1+X30)</f>
        <v>61617.888579128667</v>
      </c>
      <c r="Y31" s="7">
        <f t="shared" ref="Y31" si="62">Y29*(1+Y30)</f>
        <v>64082.604122293815</v>
      </c>
      <c r="Z31" s="7">
        <f t="shared" ref="Z31" si="63">Z29*(1+Z30)</f>
        <v>66645.908287185564</v>
      </c>
      <c r="AA31" s="7">
        <f t="shared" ref="AA31" si="64">AA29*(1+AA30)</f>
        <v>69311.744618672994</v>
      </c>
      <c r="AB31" s="7">
        <f t="shared" ref="AB31" si="65">AB29*(1+AB30)</f>
        <v>72084.214403419915</v>
      </c>
      <c r="AC31" s="7">
        <f t="shared" ref="AC31" si="66">AC29*(1+AC30)</f>
        <v>74967.582979556712</v>
      </c>
      <c r="AD31" s="7">
        <f t="shared" ref="AD31" si="67">AD29*(1+AD30)</f>
        <v>77966.286298738982</v>
      </c>
      <c r="AE31" s="7">
        <f t="shared" ref="AE31" si="68">AE29*(1+AE30)</f>
        <v>81084.93775068855</v>
      </c>
      <c r="AF31" s="7">
        <f t="shared" ref="AF31" si="69">AF29*(1+AF30)</f>
        <v>84328.335260716092</v>
      </c>
      <c r="AG31" s="7">
        <f t="shared" ref="AG31" si="70">AG29*(1+AG30)</f>
        <v>87701.468671144743</v>
      </c>
      <c r="AH31" s="7">
        <f t="shared" ref="AH31" si="71">AH29*(1+AH30)</f>
        <v>91209.527417990539</v>
      </c>
    </row>
    <row r="33" spans="1:34" ht="15" thickBot="1" x14ac:dyDescent="0.35">
      <c r="A33" s="12" t="s">
        <v>20</v>
      </c>
      <c r="B33" s="13">
        <f>AH23+AH31</f>
        <v>266423.0172674678</v>
      </c>
    </row>
    <row r="34" spans="1:34" x14ac:dyDescent="0.3">
      <c r="B34" s="10"/>
    </row>
    <row r="35" spans="1:34" x14ac:dyDescent="0.3">
      <c r="A35" s="14" t="s">
        <v>92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7" spans="1:34" x14ac:dyDescent="0.3">
      <c r="B37" s="5" t="s">
        <v>31</v>
      </c>
      <c r="C37" s="5">
        <v>34</v>
      </c>
      <c r="D37" s="5">
        <v>35</v>
      </c>
      <c r="E37" s="5">
        <v>36</v>
      </c>
      <c r="F37" s="5">
        <f>E37+1</f>
        <v>37</v>
      </c>
      <c r="G37" s="5">
        <f t="shared" ref="G37:AH37" si="72">F37+1</f>
        <v>38</v>
      </c>
      <c r="H37" s="5">
        <f t="shared" si="72"/>
        <v>39</v>
      </c>
      <c r="I37" s="5">
        <f t="shared" si="72"/>
        <v>40</v>
      </c>
      <c r="J37" s="5">
        <f t="shared" si="72"/>
        <v>41</v>
      </c>
      <c r="K37" s="5">
        <f t="shared" si="72"/>
        <v>42</v>
      </c>
      <c r="L37" s="5">
        <f t="shared" si="72"/>
        <v>43</v>
      </c>
      <c r="M37" s="5">
        <f t="shared" si="72"/>
        <v>44</v>
      </c>
      <c r="N37" s="5">
        <f t="shared" si="72"/>
        <v>45</v>
      </c>
      <c r="O37" s="5">
        <f t="shared" si="72"/>
        <v>46</v>
      </c>
      <c r="P37" s="5">
        <f t="shared" si="72"/>
        <v>47</v>
      </c>
      <c r="Q37" s="5">
        <f t="shared" si="72"/>
        <v>48</v>
      </c>
      <c r="R37" s="5">
        <f t="shared" si="72"/>
        <v>49</v>
      </c>
      <c r="S37" s="5">
        <f t="shared" si="72"/>
        <v>50</v>
      </c>
      <c r="T37" s="5">
        <f t="shared" si="72"/>
        <v>51</v>
      </c>
      <c r="U37" s="5">
        <f t="shared" si="72"/>
        <v>52</v>
      </c>
      <c r="V37" s="5">
        <f t="shared" si="72"/>
        <v>53</v>
      </c>
      <c r="W37" s="5">
        <f t="shared" si="72"/>
        <v>54</v>
      </c>
      <c r="X37" s="5">
        <f t="shared" si="72"/>
        <v>55</v>
      </c>
      <c r="Y37" s="5">
        <f t="shared" si="72"/>
        <v>56</v>
      </c>
      <c r="Z37" s="5">
        <f t="shared" si="72"/>
        <v>57</v>
      </c>
      <c r="AA37" s="5">
        <f t="shared" si="72"/>
        <v>58</v>
      </c>
      <c r="AB37" s="5">
        <f t="shared" si="72"/>
        <v>59</v>
      </c>
      <c r="AC37" s="5">
        <f t="shared" si="72"/>
        <v>60</v>
      </c>
      <c r="AD37" s="5">
        <f t="shared" si="72"/>
        <v>61</v>
      </c>
      <c r="AE37" s="5">
        <f t="shared" si="72"/>
        <v>62</v>
      </c>
      <c r="AF37" s="5">
        <f t="shared" si="72"/>
        <v>63</v>
      </c>
      <c r="AG37" s="5">
        <f t="shared" si="72"/>
        <v>64</v>
      </c>
      <c r="AH37" s="5">
        <f t="shared" si="72"/>
        <v>65</v>
      </c>
    </row>
    <row r="38" spans="1:34" x14ac:dyDescent="0.3">
      <c r="A38" t="s">
        <v>17</v>
      </c>
      <c r="B38" s="1">
        <v>30000</v>
      </c>
      <c r="C38" s="1">
        <f>B42</f>
        <v>31200</v>
      </c>
      <c r="D38" s="1">
        <f>C42+C43</f>
        <v>32448</v>
      </c>
      <c r="E38" s="1">
        <f t="shared" ref="E38:AH38" si="73">D42</f>
        <v>33745.919999999998</v>
      </c>
      <c r="F38" s="1">
        <f t="shared" si="73"/>
        <v>35095.756800000003</v>
      </c>
      <c r="G38" s="1">
        <f t="shared" si="73"/>
        <v>36499.587072000002</v>
      </c>
      <c r="H38" s="1">
        <f t="shared" si="73"/>
        <v>37959.570554880003</v>
      </c>
      <c r="I38" s="1">
        <f t="shared" si="73"/>
        <v>39477.953377075202</v>
      </c>
      <c r="J38" s="1">
        <f t="shared" si="73"/>
        <v>41057.071512158211</v>
      </c>
      <c r="K38" s="1">
        <f t="shared" si="73"/>
        <v>42699.354372644542</v>
      </c>
      <c r="L38" s="1">
        <f t="shared" si="73"/>
        <v>44407.328547550329</v>
      </c>
      <c r="M38" s="1">
        <f t="shared" si="73"/>
        <v>46183.621689452346</v>
      </c>
      <c r="N38" s="1">
        <f t="shared" si="73"/>
        <v>48030.966557030442</v>
      </c>
      <c r="O38" s="1">
        <f t="shared" si="73"/>
        <v>49952.205219311661</v>
      </c>
      <c r="P38" s="1">
        <f t="shared" si="73"/>
        <v>51950.293428084129</v>
      </c>
      <c r="Q38" s="1">
        <f t="shared" si="73"/>
        <v>54028.305165207494</v>
      </c>
      <c r="R38" s="1">
        <f t="shared" si="73"/>
        <v>56189.437371815795</v>
      </c>
      <c r="S38" s="1">
        <f t="shared" si="73"/>
        <v>58437.014866688427</v>
      </c>
      <c r="T38" s="1">
        <f t="shared" si="73"/>
        <v>60774.495461355968</v>
      </c>
      <c r="U38" s="1">
        <f t="shared" si="73"/>
        <v>63205.475279810205</v>
      </c>
      <c r="V38" s="1">
        <f t="shared" si="73"/>
        <v>65733.694291002612</v>
      </c>
      <c r="W38" s="1">
        <f t="shared" si="73"/>
        <v>68363.042062642722</v>
      </c>
      <c r="X38" s="1">
        <f t="shared" si="73"/>
        <v>71097.563745148436</v>
      </c>
      <c r="Y38" s="1">
        <f t="shared" si="73"/>
        <v>73941.466294954371</v>
      </c>
      <c r="Z38" s="1">
        <f t="shared" si="73"/>
        <v>76899.124946752549</v>
      </c>
      <c r="AA38" s="1">
        <f t="shared" si="73"/>
        <v>79975.089944622654</v>
      </c>
      <c r="AB38" s="1">
        <f t="shared" si="73"/>
        <v>83174.093542407558</v>
      </c>
      <c r="AC38" s="1">
        <f t="shared" si="73"/>
        <v>86501.057284103867</v>
      </c>
      <c r="AD38" s="1">
        <f t="shared" si="73"/>
        <v>89961.099575468019</v>
      </c>
      <c r="AE38" s="1">
        <f t="shared" si="73"/>
        <v>93559.543558486737</v>
      </c>
      <c r="AF38" s="1">
        <f t="shared" si="73"/>
        <v>97301.925300826217</v>
      </c>
      <c r="AG38" s="1">
        <f t="shared" si="73"/>
        <v>101194.00231285927</v>
      </c>
      <c r="AH38" s="1">
        <f t="shared" si="73"/>
        <v>105241.76240537365</v>
      </c>
    </row>
    <row r="39" spans="1:34" x14ac:dyDescent="0.3">
      <c r="A39" t="s">
        <v>15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</row>
    <row r="40" spans="1:34" x14ac:dyDescent="0.3">
      <c r="A40" t="s">
        <v>16</v>
      </c>
      <c r="B40" s="1">
        <f>B38+B39</f>
        <v>30000</v>
      </c>
      <c r="C40" s="1">
        <f t="shared" ref="C40" si="74">C38+C39</f>
        <v>31200</v>
      </c>
      <c r="D40" s="1">
        <f t="shared" ref="D40" si="75">D38+D39</f>
        <v>32448</v>
      </c>
      <c r="E40" s="1">
        <f t="shared" ref="E40" si="76">E38+E39</f>
        <v>33745.919999999998</v>
      </c>
      <c r="F40" s="1">
        <f t="shared" ref="F40" si="77">F38+F39</f>
        <v>35095.756800000003</v>
      </c>
      <c r="G40" s="1">
        <f t="shared" ref="G40" si="78">G38+G39</f>
        <v>36499.587072000002</v>
      </c>
      <c r="H40" s="1">
        <f t="shared" ref="H40" si="79">H38+H39</f>
        <v>37959.570554880003</v>
      </c>
      <c r="I40" s="1">
        <f t="shared" ref="I40" si="80">I38+I39</f>
        <v>39477.953377075202</v>
      </c>
      <c r="J40" s="1">
        <f t="shared" ref="J40" si="81">J38+J39</f>
        <v>41057.071512158211</v>
      </c>
      <c r="K40" s="1">
        <f t="shared" ref="K40" si="82">K38+K39</f>
        <v>42699.354372644542</v>
      </c>
      <c r="L40" s="1">
        <f t="shared" ref="L40" si="83">L38+L39</f>
        <v>44407.328547550329</v>
      </c>
      <c r="M40" s="1">
        <f t="shared" ref="M40" si="84">M38+M39</f>
        <v>46183.621689452346</v>
      </c>
      <c r="N40" s="1">
        <f t="shared" ref="N40" si="85">N38+N39</f>
        <v>48030.966557030442</v>
      </c>
      <c r="O40" s="1">
        <f t="shared" ref="O40" si="86">O38+O39</f>
        <v>49952.205219311661</v>
      </c>
      <c r="P40" s="1">
        <f t="shared" ref="P40" si="87">P38+P39</f>
        <v>51950.293428084129</v>
      </c>
      <c r="Q40" s="1">
        <f t="shared" ref="Q40" si="88">Q38+Q39</f>
        <v>54028.305165207494</v>
      </c>
      <c r="R40" s="1">
        <f t="shared" ref="R40" si="89">R38+R39</f>
        <v>56189.437371815795</v>
      </c>
      <c r="S40" s="1">
        <f t="shared" ref="S40" si="90">S38+S39</f>
        <v>58437.014866688427</v>
      </c>
      <c r="T40" s="1">
        <f t="shared" ref="T40" si="91">T38+T39</f>
        <v>60774.495461355968</v>
      </c>
      <c r="U40" s="1">
        <f t="shared" ref="U40" si="92">U38+U39</f>
        <v>63205.475279810205</v>
      </c>
      <c r="V40" s="1">
        <f t="shared" ref="V40" si="93">V38+V39</f>
        <v>65733.694291002612</v>
      </c>
      <c r="W40" s="1">
        <f t="shared" ref="W40" si="94">W38+W39</f>
        <v>68363.042062642722</v>
      </c>
      <c r="X40" s="1">
        <f t="shared" ref="X40" si="95">X38+X39</f>
        <v>71097.563745148436</v>
      </c>
      <c r="Y40" s="1">
        <f t="shared" ref="Y40" si="96">Y38+Y39</f>
        <v>73941.466294954371</v>
      </c>
      <c r="Z40" s="1">
        <f t="shared" ref="Z40" si="97">Z38+Z39</f>
        <v>76899.124946752549</v>
      </c>
      <c r="AA40" s="1">
        <f t="shared" ref="AA40" si="98">AA38+AA39</f>
        <v>79975.089944622654</v>
      </c>
      <c r="AB40" s="1">
        <f t="shared" ref="AB40" si="99">AB38+AB39</f>
        <v>83174.093542407558</v>
      </c>
      <c r="AC40" s="1">
        <f t="shared" ref="AC40" si="100">AC38+AC39</f>
        <v>86501.057284103867</v>
      </c>
      <c r="AD40" s="1">
        <f t="shared" ref="AD40" si="101">AD38+AD39</f>
        <v>89961.099575468019</v>
      </c>
      <c r="AE40" s="1">
        <f t="shared" ref="AE40" si="102">AE38+AE39</f>
        <v>93559.543558486737</v>
      </c>
      <c r="AF40" s="1">
        <f t="shared" ref="AF40" si="103">AF38+AF39</f>
        <v>97301.925300826217</v>
      </c>
      <c r="AG40" s="1">
        <f t="shared" ref="AG40" si="104">AG38+AG39</f>
        <v>101194.00231285927</v>
      </c>
      <c r="AH40" s="1">
        <f t="shared" ref="AH40" si="105">AH38+AH39</f>
        <v>105241.76240537365</v>
      </c>
    </row>
    <row r="41" spans="1:34" x14ac:dyDescent="0.3">
      <c r="A41" t="s">
        <v>18</v>
      </c>
      <c r="B41" s="6">
        <v>0.04</v>
      </c>
      <c r="C41" s="6">
        <f>B41</f>
        <v>0.04</v>
      </c>
      <c r="D41" s="6">
        <f t="shared" ref="D41:AH41" si="106">C41</f>
        <v>0.04</v>
      </c>
      <c r="E41" s="6">
        <f t="shared" si="106"/>
        <v>0.04</v>
      </c>
      <c r="F41" s="6">
        <f t="shared" si="106"/>
        <v>0.04</v>
      </c>
      <c r="G41" s="6">
        <f t="shared" si="106"/>
        <v>0.04</v>
      </c>
      <c r="H41" s="6">
        <f t="shared" si="106"/>
        <v>0.04</v>
      </c>
      <c r="I41" s="6">
        <f t="shared" si="106"/>
        <v>0.04</v>
      </c>
      <c r="J41" s="6">
        <f t="shared" si="106"/>
        <v>0.04</v>
      </c>
      <c r="K41" s="6">
        <f t="shared" si="106"/>
        <v>0.04</v>
      </c>
      <c r="L41" s="6">
        <f t="shared" si="106"/>
        <v>0.04</v>
      </c>
      <c r="M41" s="6">
        <f t="shared" si="106"/>
        <v>0.04</v>
      </c>
      <c r="N41" s="6">
        <f t="shared" si="106"/>
        <v>0.04</v>
      </c>
      <c r="O41" s="6">
        <f t="shared" si="106"/>
        <v>0.04</v>
      </c>
      <c r="P41" s="6">
        <f t="shared" si="106"/>
        <v>0.04</v>
      </c>
      <c r="Q41" s="6">
        <f t="shared" si="106"/>
        <v>0.04</v>
      </c>
      <c r="R41" s="6">
        <f t="shared" si="106"/>
        <v>0.04</v>
      </c>
      <c r="S41" s="6">
        <f t="shared" si="106"/>
        <v>0.04</v>
      </c>
      <c r="T41" s="6">
        <f t="shared" si="106"/>
        <v>0.04</v>
      </c>
      <c r="U41" s="6">
        <f t="shared" si="106"/>
        <v>0.04</v>
      </c>
      <c r="V41" s="6">
        <f t="shared" si="106"/>
        <v>0.04</v>
      </c>
      <c r="W41" s="6">
        <f t="shared" si="106"/>
        <v>0.04</v>
      </c>
      <c r="X41" s="6">
        <f t="shared" si="106"/>
        <v>0.04</v>
      </c>
      <c r="Y41" s="6">
        <f t="shared" si="106"/>
        <v>0.04</v>
      </c>
      <c r="Z41" s="6">
        <f t="shared" si="106"/>
        <v>0.04</v>
      </c>
      <c r="AA41" s="6">
        <f t="shared" si="106"/>
        <v>0.04</v>
      </c>
      <c r="AB41" s="6">
        <f t="shared" si="106"/>
        <v>0.04</v>
      </c>
      <c r="AC41" s="6">
        <f t="shared" si="106"/>
        <v>0.04</v>
      </c>
      <c r="AD41" s="6">
        <f t="shared" si="106"/>
        <v>0.04</v>
      </c>
      <c r="AE41" s="6">
        <f t="shared" si="106"/>
        <v>0.04</v>
      </c>
      <c r="AF41" s="6">
        <f t="shared" si="106"/>
        <v>0.04</v>
      </c>
      <c r="AG41" s="6">
        <f t="shared" si="106"/>
        <v>0.04</v>
      </c>
      <c r="AH41" s="6">
        <f t="shared" si="106"/>
        <v>0.04</v>
      </c>
    </row>
    <row r="42" spans="1:34" x14ac:dyDescent="0.3">
      <c r="B42" s="7">
        <f>B40*(1+B41)</f>
        <v>31200</v>
      </c>
      <c r="C42" s="7">
        <f t="shared" ref="C42" si="107">C40*(1+C41)</f>
        <v>32448</v>
      </c>
      <c r="D42" s="7">
        <f t="shared" ref="D42" si="108">D40*(1+D41)</f>
        <v>33745.919999999998</v>
      </c>
      <c r="E42" s="7">
        <f t="shared" ref="E42" si="109">E40*(1+E41)</f>
        <v>35095.756800000003</v>
      </c>
      <c r="F42" s="7">
        <f t="shared" ref="F42" si="110">F40*(1+F41)</f>
        <v>36499.587072000002</v>
      </c>
      <c r="G42" s="7">
        <f t="shared" ref="G42" si="111">G40*(1+G41)</f>
        <v>37959.570554880003</v>
      </c>
      <c r="H42" s="7">
        <f t="shared" ref="H42" si="112">H40*(1+H41)</f>
        <v>39477.953377075202</v>
      </c>
      <c r="I42" s="7">
        <f t="shared" ref="I42" si="113">I40*(1+I41)</f>
        <v>41057.071512158211</v>
      </c>
      <c r="J42" s="7">
        <f t="shared" ref="J42" si="114">J40*(1+J41)</f>
        <v>42699.354372644542</v>
      </c>
      <c r="K42" s="7">
        <f t="shared" ref="K42" si="115">K40*(1+K41)</f>
        <v>44407.328547550329</v>
      </c>
      <c r="L42" s="7">
        <f t="shared" ref="L42" si="116">L40*(1+L41)</f>
        <v>46183.621689452346</v>
      </c>
      <c r="M42" s="7">
        <f t="shared" ref="M42" si="117">M40*(1+M41)</f>
        <v>48030.966557030442</v>
      </c>
      <c r="N42" s="7">
        <f t="shared" ref="N42" si="118">N40*(1+N41)</f>
        <v>49952.205219311661</v>
      </c>
      <c r="O42" s="7">
        <f t="shared" ref="O42" si="119">O40*(1+O41)</f>
        <v>51950.293428084129</v>
      </c>
      <c r="P42" s="7">
        <f t="shared" ref="P42" si="120">P40*(1+P41)</f>
        <v>54028.305165207494</v>
      </c>
      <c r="Q42" s="7">
        <f t="shared" ref="Q42" si="121">Q40*(1+Q41)</f>
        <v>56189.437371815795</v>
      </c>
      <c r="R42" s="7">
        <f t="shared" ref="R42" si="122">R40*(1+R41)</f>
        <v>58437.014866688427</v>
      </c>
      <c r="S42" s="7">
        <f t="shared" ref="S42" si="123">S40*(1+S41)</f>
        <v>60774.495461355968</v>
      </c>
      <c r="T42" s="7">
        <f t="shared" ref="T42" si="124">T40*(1+T41)</f>
        <v>63205.475279810205</v>
      </c>
      <c r="U42" s="7">
        <f t="shared" ref="U42" si="125">U40*(1+U41)</f>
        <v>65733.694291002612</v>
      </c>
      <c r="V42" s="7">
        <f t="shared" ref="V42" si="126">V40*(1+V41)</f>
        <v>68363.042062642722</v>
      </c>
      <c r="W42" s="7">
        <f t="shared" ref="W42" si="127">W40*(1+W41)</f>
        <v>71097.563745148436</v>
      </c>
      <c r="X42" s="7">
        <f t="shared" ref="X42" si="128">X40*(1+X41)</f>
        <v>73941.466294954371</v>
      </c>
      <c r="Y42" s="7">
        <f t="shared" ref="Y42" si="129">Y40*(1+Y41)</f>
        <v>76899.124946752549</v>
      </c>
      <c r="Z42" s="7">
        <f t="shared" ref="Z42" si="130">Z40*(1+Z41)</f>
        <v>79975.089944622654</v>
      </c>
      <c r="AA42" s="7">
        <f t="shared" ref="AA42" si="131">AA40*(1+AA41)</f>
        <v>83174.093542407558</v>
      </c>
      <c r="AB42" s="7">
        <f t="shared" ref="AB42" si="132">AB40*(1+AB41)</f>
        <v>86501.057284103867</v>
      </c>
      <c r="AC42" s="7">
        <f t="shared" ref="AC42" si="133">AC40*(1+AC41)</f>
        <v>89961.099575468019</v>
      </c>
      <c r="AD42" s="7">
        <f t="shared" ref="AD42" si="134">AD40*(1+AD41)</f>
        <v>93559.543558486737</v>
      </c>
      <c r="AE42" s="7">
        <f t="shared" ref="AE42" si="135">AE40*(1+AE41)</f>
        <v>97301.925300826217</v>
      </c>
      <c r="AF42" s="7">
        <f t="shared" ref="AF42" si="136">AF40*(1+AF41)</f>
        <v>101194.00231285927</v>
      </c>
      <c r="AG42" s="7">
        <f t="shared" ref="AG42" si="137">AG40*(1+AG41)</f>
        <v>105241.76240537365</v>
      </c>
      <c r="AH42" s="7">
        <f t="shared" ref="AH42" si="138">AH40*(1+AH41)</f>
        <v>109451.4329015886</v>
      </c>
    </row>
    <row r="43" spans="1:34" x14ac:dyDescent="0.3">
      <c r="C43" s="1"/>
    </row>
    <row r="45" spans="1:34" x14ac:dyDescent="0.3">
      <c r="B45" s="5" t="s">
        <v>31</v>
      </c>
      <c r="C45" s="5">
        <v>34</v>
      </c>
      <c r="D45" s="5">
        <v>35</v>
      </c>
      <c r="E45" s="5">
        <v>36</v>
      </c>
      <c r="F45" s="5">
        <f>E45+1</f>
        <v>37</v>
      </c>
      <c r="G45" s="5">
        <f t="shared" ref="G45:AH45" si="139">F45+1</f>
        <v>38</v>
      </c>
      <c r="H45" s="5">
        <f t="shared" si="139"/>
        <v>39</v>
      </c>
      <c r="I45" s="5">
        <f t="shared" si="139"/>
        <v>40</v>
      </c>
      <c r="J45" s="5">
        <f t="shared" si="139"/>
        <v>41</v>
      </c>
      <c r="K45" s="5">
        <f t="shared" si="139"/>
        <v>42</v>
      </c>
      <c r="L45" s="5">
        <f t="shared" si="139"/>
        <v>43</v>
      </c>
      <c r="M45" s="5">
        <f t="shared" si="139"/>
        <v>44</v>
      </c>
      <c r="N45" s="5">
        <f t="shared" si="139"/>
        <v>45</v>
      </c>
      <c r="O45" s="5">
        <f t="shared" si="139"/>
        <v>46</v>
      </c>
      <c r="P45" s="5">
        <f t="shared" si="139"/>
        <v>47</v>
      </c>
      <c r="Q45" s="5">
        <f t="shared" si="139"/>
        <v>48</v>
      </c>
      <c r="R45" s="5">
        <f t="shared" si="139"/>
        <v>49</v>
      </c>
      <c r="S45" s="5">
        <f t="shared" si="139"/>
        <v>50</v>
      </c>
      <c r="T45" s="5">
        <f t="shared" si="139"/>
        <v>51</v>
      </c>
      <c r="U45" s="5">
        <f t="shared" si="139"/>
        <v>52</v>
      </c>
      <c r="V45" s="5">
        <f t="shared" si="139"/>
        <v>53</v>
      </c>
      <c r="W45" s="5">
        <f t="shared" si="139"/>
        <v>54</v>
      </c>
      <c r="X45" s="5">
        <f t="shared" si="139"/>
        <v>55</v>
      </c>
      <c r="Y45" s="5">
        <f t="shared" si="139"/>
        <v>56</v>
      </c>
      <c r="Z45" s="5">
        <f t="shared" si="139"/>
        <v>57</v>
      </c>
      <c r="AA45" s="5">
        <f t="shared" si="139"/>
        <v>58</v>
      </c>
      <c r="AB45" s="5">
        <f t="shared" si="139"/>
        <v>59</v>
      </c>
      <c r="AC45" s="5">
        <f t="shared" si="139"/>
        <v>60</v>
      </c>
      <c r="AD45" s="5">
        <f t="shared" si="139"/>
        <v>61</v>
      </c>
      <c r="AE45" s="5">
        <f t="shared" si="139"/>
        <v>62</v>
      </c>
      <c r="AF45" s="5">
        <f t="shared" si="139"/>
        <v>63</v>
      </c>
      <c r="AG45" s="5">
        <f t="shared" si="139"/>
        <v>64</v>
      </c>
      <c r="AH45" s="5">
        <f t="shared" si="139"/>
        <v>65</v>
      </c>
    </row>
    <row r="46" spans="1:34" x14ac:dyDescent="0.3">
      <c r="A46" t="s">
        <v>14</v>
      </c>
      <c r="B46" s="1">
        <v>25000</v>
      </c>
      <c r="C46" s="1">
        <f>B50</f>
        <v>26000</v>
      </c>
      <c r="D46" s="1">
        <f t="shared" ref="D46:AH46" si="140">C50</f>
        <v>27040</v>
      </c>
      <c r="E46" s="1">
        <f t="shared" si="140"/>
        <v>28121.600000000002</v>
      </c>
      <c r="F46" s="1">
        <f t="shared" si="140"/>
        <v>29246.464000000004</v>
      </c>
      <c r="G46" s="1">
        <f t="shared" si="140"/>
        <v>30416.322560000004</v>
      </c>
      <c r="H46" s="1">
        <f t="shared" si="140"/>
        <v>31632.975462400005</v>
      </c>
      <c r="I46" s="1">
        <f t="shared" si="140"/>
        <v>32898.294480896009</v>
      </c>
      <c r="J46" s="1">
        <f t="shared" si="140"/>
        <v>34214.226260131851</v>
      </c>
      <c r="K46" s="1">
        <f t="shared" si="140"/>
        <v>35582.795310537127</v>
      </c>
      <c r="L46" s="1">
        <f t="shared" si="140"/>
        <v>37006.107122958616</v>
      </c>
      <c r="M46" s="1">
        <f t="shared" si="140"/>
        <v>38486.351407876959</v>
      </c>
      <c r="N46" s="1">
        <f t="shared" si="140"/>
        <v>40025.805464192039</v>
      </c>
      <c r="O46" s="1">
        <f t="shared" si="140"/>
        <v>41626.837682759724</v>
      </c>
      <c r="P46" s="1">
        <f t="shared" si="140"/>
        <v>43291.911190070117</v>
      </c>
      <c r="Q46" s="1">
        <f t="shared" si="140"/>
        <v>45023.587637672921</v>
      </c>
      <c r="R46" s="1">
        <f t="shared" si="140"/>
        <v>46824.53114317984</v>
      </c>
      <c r="S46" s="1">
        <f t="shared" si="140"/>
        <v>48697.512388907038</v>
      </c>
      <c r="T46" s="1">
        <f t="shared" si="140"/>
        <v>50645.412884463323</v>
      </c>
      <c r="U46" s="1">
        <f t="shared" si="140"/>
        <v>52671.229399841861</v>
      </c>
      <c r="V46" s="1">
        <f t="shared" si="140"/>
        <v>54778.078575835534</v>
      </c>
      <c r="W46" s="1">
        <f t="shared" si="140"/>
        <v>56969.201718868957</v>
      </c>
      <c r="X46" s="1">
        <f t="shared" si="140"/>
        <v>59247.969787623719</v>
      </c>
      <c r="Y46" s="1">
        <f t="shared" si="140"/>
        <v>61617.888579128667</v>
      </c>
      <c r="Z46" s="1">
        <f t="shared" si="140"/>
        <v>64082.604122293815</v>
      </c>
      <c r="AA46" s="1">
        <f t="shared" si="140"/>
        <v>66645.908287185564</v>
      </c>
      <c r="AB46" s="1">
        <f t="shared" si="140"/>
        <v>69311.744618672994</v>
      </c>
      <c r="AC46" s="1">
        <f t="shared" si="140"/>
        <v>72084.214403419915</v>
      </c>
      <c r="AD46" s="1">
        <f t="shared" si="140"/>
        <v>74967.582979556712</v>
      </c>
      <c r="AE46" s="1">
        <f t="shared" si="140"/>
        <v>77966.286298738982</v>
      </c>
      <c r="AF46" s="1">
        <f t="shared" si="140"/>
        <v>81084.93775068855</v>
      </c>
      <c r="AG46" s="1">
        <f t="shared" si="140"/>
        <v>84328.335260716092</v>
      </c>
      <c r="AH46" s="1">
        <f t="shared" si="140"/>
        <v>87701.468671144743</v>
      </c>
    </row>
    <row r="47" spans="1:34" x14ac:dyDescent="0.3">
      <c r="A47" t="s">
        <v>15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</row>
    <row r="48" spans="1:34" x14ac:dyDescent="0.3">
      <c r="A48" t="s">
        <v>19</v>
      </c>
      <c r="B48" s="1">
        <f>B46+B47</f>
        <v>25000</v>
      </c>
      <c r="C48" s="1">
        <f t="shared" ref="C48" si="141">C46+C47</f>
        <v>26000</v>
      </c>
      <c r="D48" s="1">
        <f t="shared" ref="D48" si="142">D46+D47</f>
        <v>27040</v>
      </c>
      <c r="E48" s="1">
        <f t="shared" ref="E48" si="143">E46+E47</f>
        <v>28121.600000000002</v>
      </c>
      <c r="F48" s="1">
        <f t="shared" ref="F48" si="144">F46+F47</f>
        <v>29246.464000000004</v>
      </c>
      <c r="G48" s="1">
        <f t="shared" ref="G48" si="145">G46+G47</f>
        <v>30416.322560000004</v>
      </c>
      <c r="H48" s="1">
        <f t="shared" ref="H48" si="146">H46+H47</f>
        <v>31632.975462400005</v>
      </c>
      <c r="I48" s="1">
        <f t="shared" ref="I48" si="147">I46+I47</f>
        <v>32898.294480896009</v>
      </c>
      <c r="J48" s="1">
        <f t="shared" ref="J48" si="148">J46+J47</f>
        <v>34214.226260131851</v>
      </c>
      <c r="K48" s="1">
        <f t="shared" ref="K48" si="149">K46+K47</f>
        <v>35582.795310537127</v>
      </c>
      <c r="L48" s="1">
        <f t="shared" ref="L48" si="150">L46+L47</f>
        <v>37006.107122958616</v>
      </c>
      <c r="M48" s="1">
        <f t="shared" ref="M48" si="151">M46+M47</f>
        <v>38486.351407876959</v>
      </c>
      <c r="N48" s="1">
        <f t="shared" ref="N48" si="152">N46+N47</f>
        <v>40025.805464192039</v>
      </c>
      <c r="O48" s="1">
        <f t="shared" ref="O48" si="153">O46+O47</f>
        <v>41626.837682759724</v>
      </c>
      <c r="P48" s="1">
        <f t="shared" ref="P48" si="154">P46+P47</f>
        <v>43291.911190070117</v>
      </c>
      <c r="Q48" s="1">
        <f t="shared" ref="Q48" si="155">Q46+Q47</f>
        <v>45023.587637672921</v>
      </c>
      <c r="R48" s="1">
        <f t="shared" ref="R48" si="156">R46+R47</f>
        <v>46824.53114317984</v>
      </c>
      <c r="S48" s="1">
        <f t="shared" ref="S48" si="157">S46+S47</f>
        <v>48697.512388907038</v>
      </c>
      <c r="T48" s="1">
        <f t="shared" ref="T48" si="158">T46+T47</f>
        <v>50645.412884463323</v>
      </c>
      <c r="U48" s="1">
        <f t="shared" ref="U48" si="159">U46+U47</f>
        <v>52671.229399841861</v>
      </c>
      <c r="V48" s="1">
        <f t="shared" ref="V48" si="160">V46+V47</f>
        <v>54778.078575835534</v>
      </c>
      <c r="W48" s="1">
        <f t="shared" ref="W48" si="161">W46+W47</f>
        <v>56969.201718868957</v>
      </c>
      <c r="X48" s="1">
        <f t="shared" ref="X48" si="162">X46+X47</f>
        <v>59247.969787623719</v>
      </c>
      <c r="Y48" s="1">
        <f t="shared" ref="Y48" si="163">Y46+Y47</f>
        <v>61617.888579128667</v>
      </c>
      <c r="Z48" s="1">
        <f t="shared" ref="Z48" si="164">Z46+Z47</f>
        <v>64082.604122293815</v>
      </c>
      <c r="AA48" s="1">
        <f t="shared" ref="AA48" si="165">AA46+AA47</f>
        <v>66645.908287185564</v>
      </c>
      <c r="AB48" s="1">
        <f t="shared" ref="AB48" si="166">AB46+AB47</f>
        <v>69311.744618672994</v>
      </c>
      <c r="AC48" s="1">
        <f t="shared" ref="AC48" si="167">AC46+AC47</f>
        <v>72084.214403419915</v>
      </c>
      <c r="AD48" s="1">
        <f t="shared" ref="AD48" si="168">AD46+AD47</f>
        <v>74967.582979556712</v>
      </c>
      <c r="AE48" s="1">
        <f t="shared" ref="AE48" si="169">AE46+AE47</f>
        <v>77966.286298738982</v>
      </c>
      <c r="AF48" s="1">
        <f t="shared" ref="AF48" si="170">AF46+AF47</f>
        <v>81084.93775068855</v>
      </c>
      <c r="AG48" s="1">
        <f t="shared" ref="AG48" si="171">AG46+AG47</f>
        <v>84328.335260716092</v>
      </c>
      <c r="AH48" s="1">
        <f t="shared" ref="AH48" si="172">AH46+AH47</f>
        <v>87701.468671144743</v>
      </c>
    </row>
    <row r="49" spans="1:34" x14ac:dyDescent="0.3">
      <c r="A49" t="s">
        <v>18</v>
      </c>
      <c r="B49" s="6">
        <v>0.04</v>
      </c>
      <c r="C49" s="6">
        <f>B49</f>
        <v>0.04</v>
      </c>
      <c r="D49" s="6">
        <f t="shared" ref="D49:AH49" si="173">C49</f>
        <v>0.04</v>
      </c>
      <c r="E49" s="6">
        <f t="shared" si="173"/>
        <v>0.04</v>
      </c>
      <c r="F49" s="6">
        <f t="shared" si="173"/>
        <v>0.04</v>
      </c>
      <c r="G49" s="6">
        <f t="shared" si="173"/>
        <v>0.04</v>
      </c>
      <c r="H49" s="6">
        <f t="shared" si="173"/>
        <v>0.04</v>
      </c>
      <c r="I49" s="6">
        <f t="shared" si="173"/>
        <v>0.04</v>
      </c>
      <c r="J49" s="6">
        <f t="shared" si="173"/>
        <v>0.04</v>
      </c>
      <c r="K49" s="6">
        <f t="shared" si="173"/>
        <v>0.04</v>
      </c>
      <c r="L49" s="6">
        <f t="shared" si="173"/>
        <v>0.04</v>
      </c>
      <c r="M49" s="6">
        <f t="shared" si="173"/>
        <v>0.04</v>
      </c>
      <c r="N49" s="6">
        <f t="shared" si="173"/>
        <v>0.04</v>
      </c>
      <c r="O49" s="6">
        <f t="shared" si="173"/>
        <v>0.04</v>
      </c>
      <c r="P49" s="6">
        <f t="shared" si="173"/>
        <v>0.04</v>
      </c>
      <c r="Q49" s="6">
        <f t="shared" si="173"/>
        <v>0.04</v>
      </c>
      <c r="R49" s="6">
        <f t="shared" si="173"/>
        <v>0.04</v>
      </c>
      <c r="S49" s="6">
        <f t="shared" si="173"/>
        <v>0.04</v>
      </c>
      <c r="T49" s="6">
        <f t="shared" si="173"/>
        <v>0.04</v>
      </c>
      <c r="U49" s="6">
        <f t="shared" si="173"/>
        <v>0.04</v>
      </c>
      <c r="V49" s="6">
        <f t="shared" si="173"/>
        <v>0.04</v>
      </c>
      <c r="W49" s="6">
        <f t="shared" si="173"/>
        <v>0.04</v>
      </c>
      <c r="X49" s="6">
        <f t="shared" si="173"/>
        <v>0.04</v>
      </c>
      <c r="Y49" s="6">
        <f t="shared" si="173"/>
        <v>0.04</v>
      </c>
      <c r="Z49" s="6">
        <f t="shared" si="173"/>
        <v>0.04</v>
      </c>
      <c r="AA49" s="6">
        <f t="shared" si="173"/>
        <v>0.04</v>
      </c>
      <c r="AB49" s="6">
        <f t="shared" si="173"/>
        <v>0.04</v>
      </c>
      <c r="AC49" s="6">
        <f t="shared" si="173"/>
        <v>0.04</v>
      </c>
      <c r="AD49" s="6">
        <f t="shared" si="173"/>
        <v>0.04</v>
      </c>
      <c r="AE49" s="6">
        <f t="shared" si="173"/>
        <v>0.04</v>
      </c>
      <c r="AF49" s="6">
        <f t="shared" si="173"/>
        <v>0.04</v>
      </c>
      <c r="AG49" s="6">
        <f t="shared" si="173"/>
        <v>0.04</v>
      </c>
      <c r="AH49" s="6">
        <f t="shared" si="173"/>
        <v>0.04</v>
      </c>
    </row>
    <row r="50" spans="1:34" x14ac:dyDescent="0.3">
      <c r="B50" s="7">
        <f>B48*(1+B49)</f>
        <v>26000</v>
      </c>
      <c r="C50" s="7">
        <f t="shared" ref="C50" si="174">C48*(1+C49)</f>
        <v>27040</v>
      </c>
      <c r="D50" s="7">
        <f t="shared" ref="D50" si="175">D48*(1+D49)</f>
        <v>28121.600000000002</v>
      </c>
      <c r="E50" s="7">
        <f t="shared" ref="E50" si="176">E48*(1+E49)</f>
        <v>29246.464000000004</v>
      </c>
      <c r="F50" s="7">
        <f t="shared" ref="F50" si="177">F48*(1+F49)</f>
        <v>30416.322560000004</v>
      </c>
      <c r="G50" s="7">
        <f t="shared" ref="G50" si="178">G48*(1+G49)</f>
        <v>31632.975462400005</v>
      </c>
      <c r="H50" s="7">
        <f t="shared" ref="H50" si="179">H48*(1+H49)</f>
        <v>32898.294480896009</v>
      </c>
      <c r="I50" s="7">
        <f t="shared" ref="I50" si="180">I48*(1+I49)</f>
        <v>34214.226260131851</v>
      </c>
      <c r="J50" s="7">
        <f t="shared" ref="J50" si="181">J48*(1+J49)</f>
        <v>35582.795310537127</v>
      </c>
      <c r="K50" s="7">
        <f t="shared" ref="K50" si="182">K48*(1+K49)</f>
        <v>37006.107122958616</v>
      </c>
      <c r="L50" s="7">
        <f t="shared" ref="L50" si="183">L48*(1+L49)</f>
        <v>38486.351407876959</v>
      </c>
      <c r="M50" s="7">
        <f t="shared" ref="M50" si="184">M48*(1+M49)</f>
        <v>40025.805464192039</v>
      </c>
      <c r="N50" s="7">
        <f t="shared" ref="N50" si="185">N48*(1+N49)</f>
        <v>41626.837682759724</v>
      </c>
      <c r="O50" s="7">
        <f t="shared" ref="O50" si="186">O48*(1+O49)</f>
        <v>43291.911190070117</v>
      </c>
      <c r="P50" s="7">
        <f t="shared" ref="P50" si="187">P48*(1+P49)</f>
        <v>45023.587637672921</v>
      </c>
      <c r="Q50" s="7">
        <f t="shared" ref="Q50" si="188">Q48*(1+Q49)</f>
        <v>46824.53114317984</v>
      </c>
      <c r="R50" s="7">
        <f t="shared" ref="R50" si="189">R48*(1+R49)</f>
        <v>48697.512388907038</v>
      </c>
      <c r="S50" s="7">
        <f t="shared" ref="S50" si="190">S48*(1+S49)</f>
        <v>50645.412884463323</v>
      </c>
      <c r="T50" s="7">
        <f t="shared" ref="T50" si="191">T48*(1+T49)</f>
        <v>52671.229399841861</v>
      </c>
      <c r="U50" s="7">
        <f t="shared" ref="U50" si="192">U48*(1+U49)</f>
        <v>54778.078575835534</v>
      </c>
      <c r="V50" s="7">
        <f t="shared" ref="V50" si="193">V48*(1+V49)</f>
        <v>56969.201718868957</v>
      </c>
      <c r="W50" s="7">
        <f t="shared" ref="W50" si="194">W48*(1+W49)</f>
        <v>59247.969787623719</v>
      </c>
      <c r="X50" s="7">
        <f t="shared" ref="X50" si="195">X48*(1+X49)</f>
        <v>61617.888579128667</v>
      </c>
      <c r="Y50" s="7">
        <f t="shared" ref="Y50" si="196">Y48*(1+Y49)</f>
        <v>64082.604122293815</v>
      </c>
      <c r="Z50" s="7">
        <f t="shared" ref="Z50" si="197">Z48*(1+Z49)</f>
        <v>66645.908287185564</v>
      </c>
      <c r="AA50" s="7">
        <f t="shared" ref="AA50" si="198">AA48*(1+AA49)</f>
        <v>69311.744618672994</v>
      </c>
      <c r="AB50" s="7">
        <f t="shared" ref="AB50" si="199">AB48*(1+AB49)</f>
        <v>72084.214403419915</v>
      </c>
      <c r="AC50" s="7">
        <f t="shared" ref="AC50" si="200">AC48*(1+AC49)</f>
        <v>74967.582979556712</v>
      </c>
      <c r="AD50" s="7">
        <f t="shared" ref="AD50" si="201">AD48*(1+AD49)</f>
        <v>77966.286298738982</v>
      </c>
      <c r="AE50" s="7">
        <f t="shared" ref="AE50" si="202">AE48*(1+AE49)</f>
        <v>81084.93775068855</v>
      </c>
      <c r="AF50" s="7">
        <f t="shared" ref="AF50" si="203">AF48*(1+AF49)</f>
        <v>84328.335260716092</v>
      </c>
      <c r="AG50" s="7">
        <f t="shared" ref="AG50" si="204">AG48*(1+AG49)</f>
        <v>87701.468671144743</v>
      </c>
      <c r="AH50" s="7">
        <f t="shared" ref="AH50" si="205">AH48*(1+AH49)</f>
        <v>91209.527417990539</v>
      </c>
    </row>
    <row r="52" spans="1:34" ht="15" thickBot="1" x14ac:dyDescent="0.35">
      <c r="A52" s="12" t="s">
        <v>20</v>
      </c>
      <c r="B52" s="13">
        <f>AH42+AH50</f>
        <v>200660.96031957914</v>
      </c>
    </row>
    <row r="55" spans="1:34" ht="15.6" x14ac:dyDescent="0.3">
      <c r="A55" s="87" t="s">
        <v>96</v>
      </c>
    </row>
    <row r="56" spans="1:34" ht="15.6" x14ac:dyDescent="0.3">
      <c r="A56" s="87" t="s">
        <v>95</v>
      </c>
    </row>
  </sheetData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 scenarios</vt:lpstr>
      <vt:lpstr>Supporting calculations</vt:lpstr>
      <vt:lpstr>'Supporting calculations'!Print_Area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Cholette</dc:creator>
  <cp:lastModifiedBy>Shields, Kevin</cp:lastModifiedBy>
  <cp:lastPrinted>2016-09-06T18:32:03Z</cp:lastPrinted>
  <dcterms:created xsi:type="dcterms:W3CDTF">2016-09-06T16:24:34Z</dcterms:created>
  <dcterms:modified xsi:type="dcterms:W3CDTF">2018-10-26T18:21:36Z</dcterms:modified>
</cp:coreProperties>
</file>